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rmitoutlook-my.sharepoint.com/personal/marie_anett_heinsalu_kul_ee/Documents/Teatrinõunik/SA-d/Asutaja ootused/Draama/"/>
    </mc:Choice>
  </mc:AlternateContent>
  <xr:revisionPtr revIDLastSave="51" documentId="8_{D18ADDE4-30D7-41DB-BD65-20C4AA4C2B52}" xr6:coauthVersionLast="47" xr6:coauthVersionMax="47" xr10:uidLastSave="{DEE1EB8D-9F13-4CB4-81E7-99DA2E19352B}"/>
  <bookViews>
    <workbookView xWindow="-120" yWindow="-120" windowWidth="29040" windowHeight="15840" xr2:uid="{DDE9394C-F54C-4DCE-A62C-3EC3097BB203}"/>
  </bookViews>
  <sheets>
    <sheet name="Eesti Draamateater"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1" l="1"/>
  <c r="F56" i="1"/>
  <c r="N31" i="1"/>
  <c r="N33" i="1" s="1"/>
  <c r="N24" i="1"/>
  <c r="J55" i="1"/>
  <c r="E55" i="1"/>
  <c r="F55" i="1"/>
  <c r="G55" i="1"/>
  <c r="H55" i="1"/>
  <c r="I55" i="1"/>
  <c r="J56" i="1"/>
  <c r="I53" i="1"/>
  <c r="I33" i="1"/>
  <c r="J33" i="1"/>
  <c r="J54" i="1" s="1"/>
  <c r="G31" i="1"/>
  <c r="G33" i="1" s="1"/>
  <c r="G53" i="1" s="1"/>
  <c r="G56" i="1" l="1"/>
  <c r="H56" i="1"/>
  <c r="I56" i="1"/>
  <c r="I48" i="1"/>
  <c r="I49" i="1"/>
  <c r="F31" i="1"/>
  <c r="F33" i="1" s="1"/>
  <c r="H31" i="1"/>
  <c r="H33" i="1" s="1"/>
  <c r="K31" i="1"/>
  <c r="K33" i="1" s="1"/>
  <c r="L31" i="1"/>
  <c r="L33" i="1" s="1"/>
  <c r="M31" i="1"/>
  <c r="M33" i="1" s="1"/>
  <c r="E31" i="1"/>
  <c r="E33" i="1" s="1"/>
  <c r="L24" i="1"/>
  <c r="M24" i="1"/>
  <c r="E54" i="1" l="1"/>
  <c r="E53" i="1"/>
  <c r="I54" i="1"/>
  <c r="F54" i="1"/>
  <c r="F53" i="1"/>
  <c r="G54" i="1"/>
  <c r="H54" i="1"/>
  <c r="J53" i="1"/>
  <c r="H53" i="1"/>
  <c r="H49" i="1"/>
  <c r="G49" i="1"/>
  <c r="F49" i="1"/>
  <c r="E49" i="1"/>
  <c r="H48" i="1"/>
  <c r="G48" i="1"/>
  <c r="F48" i="1"/>
  <c r="E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tc={FC056A7C-338C-483F-ADA3-97F258EF27BD}</author>
    <author>tc={A8170C49-1E79-4C39-B471-158BDB500536}</author>
    <author>tc={19C38EAC-7F8D-462F-BD57-02E25623B498}</author>
    <author>tc={CC6026F0-14D8-4A8D-A5C0-F94A809FE93B}</author>
    <author>tc={089C36DE-E873-4085-A892-F972491D4B4D}</author>
    <author>tc={654B4AFD-73A9-49DC-8024-655E38039D0A}</author>
    <author>tc={1D8835DE-EC91-45CD-8E9D-F3436E72AC25}</author>
    <author>tc={42E118A2-93B1-4F61-BDA2-A0680BBA966D}</author>
    <author>tc={DFB6E490-40DB-453E-B0FC-F4D969B21D27}</author>
    <author>tc={90F2F4AD-5DB9-4390-BE14-27C44307A045}</author>
    <author>tc={8C0B29E1-443E-4997-A8A3-46F68EE79DFB}</author>
    <author>tc={494DAA13-C8C3-4900-A7CC-8F2F4281A260}</author>
  </authors>
  <commentList>
    <comment ref="F1" authorId="0" shapeId="0" xr:uid="{FC056A7C-338C-483F-ADA3-97F258EF27BD}">
      <text>
        <t>[Lõimkommentaar]
Teie Exceli versioon võimaldab teil seda lõimkommentaari lugeda, ent kõik sellesse tehtud muudatused eemaldatakse, kui fail avatakse Exceli uuemas versioonis. Lisateavet leiate siit: https://go.microsoft.com/fwlink/?linkid=870924.
Kommentaar:
    Piirangutega aasta.</t>
      </text>
    </comment>
    <comment ref="G1" authorId="1" shapeId="0" xr:uid="{A8170C49-1E79-4C39-B471-158BDB500536}">
      <text>
        <t>[Lõimkommentaar]
Teie Exceli versioon võimaldab teil seda lõimkommentaari lugeda, ent kõik sellesse tehtud muudatused eemaldatakse, kui fail avatakse Exceli uuemas versioonis. Lisateavet leiate siit: https://go.microsoft.com/fwlink/?linkid=870924.
Kommentaar:
    Piirangutega aasta.</t>
      </text>
    </comment>
    <comment ref="D13" authorId="2" shapeId="0" xr:uid="{19C38EAC-7F8D-462F-BD57-02E25623B498}">
      <text>
        <t>[Lõimkommentaar]
Teie Exceli versioon võimaldab teil seda lõimkommentaari lugeda, ent kõik sellesse tehtud muudatused eemaldatakse, kui fail avatakse Exceli uuemas versioonis. Lisateavet leiate siit: https://go.microsoft.com/fwlink/?linkid=870924.
Kommentaar:
    Draamateatris hetkel tehtavad erinevad programmid - noorte esseevõistlus, näitekirjandise esimesed lugemised, näidendiraamatute väljaandmine.</t>
      </text>
    </comment>
    <comment ref="C15" authorId="3" shapeId="0" xr:uid="{CC6026F0-14D8-4A8D-A5C0-F94A809FE93B}">
      <text>
        <t>[Lõimkommentaar]
Teie Exceli versioon võimaldab teil seda lõimkommentaari lugeda, ent kõik sellesse tehtud muudatused eemaldatakse, kui fail avatakse Exceli uuemas versioonis. Lisateavet leiate siit: https://go.microsoft.com/fwlink/?linkid=870924.
Kommentaar:
    algupärand on kõik Eesti autorite loodud materjalid, mida lavastuste aluseks kasutatakse (dramatiseering, näidend, koreograafia, filmistsenaarium jne)</t>
      </text>
    </comment>
    <comment ref="K20" authorId="4" shapeId="0" xr:uid="{089C36DE-E873-4085-A892-F972491D4B4D}">
      <text>
        <t>[Lõimkommentaar]
Teie Exceli versioon võimaldab teil seda lõimkommentaari lugeda, ent kõik sellesse tehtud muudatused eemaldatakse, kui fail avatakse Exceli uuemas versioonis. Lisateavet leiate siit: https://go.microsoft.com/fwlink/?linkid=870924.
Kommentaar:
    Osakaalud arutelukoht. Hetkel seatud selle loogikaga, et kaasatakse teismelisi  varasemate eelteismeliste asemel.</t>
      </text>
    </comment>
    <comment ref="K29" authorId="5" shapeId="0" xr:uid="{654B4AFD-73A9-49DC-8024-655E38039D0A}">
      <text>
        <t>[Lõimkommentaar]
Teie Exceli versioon võimaldab teil seda lõimkommentaari lugeda, ent kõik sellesse tehtud muudatused eemaldatakse, kui fail avatakse Exceli uuemas versioonis. Lisateavet leiate siit: https://go.microsoft.com/fwlink/?linkid=870924.
Kommentaar:
    Osakaalud sihtgruppide lõikes arutelukoht. Hetkel seatud selle loogikaga, et kaasatakse teismelisi eelteismeliste asemel.</t>
      </text>
    </comment>
    <comment ref="D37" authorId="6" shapeId="0" xr:uid="{1D8835DE-EC91-45CD-8E9D-F3436E72AC25}">
      <text>
        <t>[Lõimkommentaar]
Teie Exceli versioon võimaldab teil seda lõimkommentaari lugeda, ent kõik sellesse tehtud muudatused eemaldatakse, kui fail avatakse Exceli uuemas versioonis. Lisateavet leiate siit: https://go.microsoft.com/fwlink/?linkid=870924.
Kommentaar:
    Kasutame RKAS-e hindamisskaalat, etendusasutuse enesehindamine selle põhjal.
Vastus:
    1 - Väga hea
2 - Hea
3 - Rahuldav
4 - Halb
5 - Mitterahuldav</t>
      </text>
    </comment>
    <comment ref="B38" authorId="7" shapeId="0" xr:uid="{42E118A2-93B1-4F61-BDA2-A0680BBA966D}">
      <text>
        <t>[Lõimkommentaar]
Teie Exceli versioon võimaldab teil seda lõimkommentaari lugeda, ent kõik sellesse tehtud muudatused eemaldatakse, kui fail avatakse Exceli uuemas versioonis. Lisateavet leiate siit: https://go.microsoft.com/fwlink/?linkid=870924.
Kommentaar:
    Tulemusindikaatorid (panustavad „Kultuuri arengukava 2021–2030“ alaeesmärgi mõõdikusse „Eesti kultuurikorralduse keskkonnamõju“).</t>
      </text>
    </comment>
    <comment ref="C44" authorId="8" shapeId="0" xr:uid="{DFB6E490-40DB-453E-B0FC-F4D969B21D27}">
      <text>
        <t>[Lõimkommentaar]
Teie Exceli versioon võimaldab teil seda lõimkommentaari lugeda, ent kõik sellesse tehtud muudatused eemaldatakse, kui fail avatakse Exceli uuemas versioonis. Lisateavet leiate siit: https://go.microsoft.com/fwlink/?linkid=870924.
Kommentaar:
    https://kliimaministeerium.ee/rohereform-kliima/rohereform/keskkonnahoidlike-urituste-korraldamise-riiklik-juhis</t>
      </text>
    </comment>
    <comment ref="C46" authorId="9" shapeId="0" xr:uid="{90F2F4AD-5DB9-4390-BE14-27C44307A045}">
      <text>
        <t>[Lõimkommentaar]
Teie Exceli versioon võimaldab teil seda lõimkommentaari lugeda, ent kõik sellesse tehtud muudatused eemaldatakse, kui fail avatakse Exceli uuemas versioonis. Lisateavet leiate siit: https://go.microsoft.com/fwlink/?linkid=870924.
Kommentaar:
    vt ligipääsetavuse koolitusmaterjale: https://kul.ee/ligipaasetavuse-edendamine-kultuuris-ja-spordis</t>
      </text>
    </comment>
    <comment ref="C58" authorId="10" shapeId="0" xr:uid="{8C0B29E1-443E-4997-A8A3-46F68EE79DFB}">
      <text>
        <t xml:space="preserve">[Lõimkommentaar]
Teie Exceli versioon võimaldab teil seda lõimkommentaari lugeda, ent kõik sellesse tehtud muudatused eemaldatakse, kui fail avatakse Exceli uuemas versioonis. Lisateavet leiate siit: https://go.microsoft.com/fwlink/?linkid=870924.
Kommentaar:
    RVS § 87 kohaselt on siseaudit kohustuslik kui tulu või bilansimaht suurem kui 2,0 mln EUR. Vabatahtlik on läbi viia kvaliteedialaseid sisemisi hindamisi, aluseks Rahandusministeeriumi soovituslikud mudelid. </t>
      </text>
    </comment>
    <comment ref="C60" authorId="11" shapeId="0" xr:uid="{494DAA13-C8C3-4900-A7CC-8F2F4281A260}">
      <text>
        <t>[Lõimkommentaar]
Teie Exceli versioon võimaldab teil seda lõimkommentaari lugeda, ent kõik sellesse tehtud muudatused eemaldatakse, kui fail avatakse Exceli uuemas versioonis. Lisateavet leiate siit: https://go.microsoft.com/fwlink/?linkid=870924.
Kommentaar:
    Metoodika, anonüümne küsimustik olemas, jagatakse kõigi nõukogu liikmetega KUM-i poolt.</t>
      </text>
    </comment>
  </commentList>
</comments>
</file>

<file path=xl/sharedStrings.xml><?xml version="1.0" encoding="utf-8"?>
<sst xmlns="http://schemas.openxmlformats.org/spreadsheetml/2006/main" count="351" uniqueCount="119">
  <si>
    <t>Jrk nr</t>
  </si>
  <si>
    <t>Eesmärgid</t>
  </si>
  <si>
    <t>Tulemusindikaatorid</t>
  </si>
  <si>
    <t>Allikas / metoodika</t>
  </si>
  <si>
    <t>STRATEEGILISED VALDKONDLIKUD EESMÄRGID</t>
  </si>
  <si>
    <t>VÕTMEINDIKAATORID</t>
  </si>
  <si>
    <t>Külastajate rahulolu</t>
  </si>
  <si>
    <t>Saalide keskmine täituvus lavastuste lõikes</t>
  </si>
  <si>
    <t>Töötajate rahulolu</t>
  </si>
  <si>
    <t>Etenduste arv aastas</t>
  </si>
  <si>
    <t>Eesti Teatri Agentuuri statistika</t>
  </si>
  <si>
    <t>Uuslavastuste arv aastas</t>
  </si>
  <si>
    <t>Teatri andmed</t>
  </si>
  <si>
    <t>Erinevatele vanuserühmadele antud etenduste arv</t>
  </si>
  <si>
    <t>Väikelapsed kuni 5a</t>
  </si>
  <si>
    <t>Lapsed 6-11a</t>
  </si>
  <si>
    <t>Täiskasvanud 21-a</t>
  </si>
  <si>
    <t>Haridustegevustes osalejate rahulolu pakutud tegevustega</t>
  </si>
  <si>
    <t>Aasta jooksul haridustegevustest osa saanud külastajate arv</t>
  </si>
  <si>
    <t>Vähendada etendusasutuse keskkonnajalajälge</t>
  </si>
  <si>
    <t>Elektri- ja soojusenergia kasutus aastas</t>
  </si>
  <si>
    <t>Teatri andmed / MWh aastas:</t>
  </si>
  <si>
    <t>Vee kasutus aastas</t>
  </si>
  <si>
    <t>Teatri andmed/ m3 aastas:</t>
  </si>
  <si>
    <t xml:space="preserve"> Jäätmete liigiti kogumine</t>
  </si>
  <si>
    <t>Asutuse autode aastane läbisõit</t>
  </si>
  <si>
    <t>Teatri andmed / km</t>
  </si>
  <si>
    <t>Arvestada kõigi teenuste pakkumisel kasutajate vajadustega kogu nende elukaare ulatuses</t>
  </si>
  <si>
    <t>Enesehindamine kõigi teenuste lõikes, tegevuskava koostamine puuduste likvideerimiseks ja selle täitmine  </t>
  </si>
  <si>
    <t>Võtmeindikaatorid</t>
  </si>
  <si>
    <t>jah/ei</t>
  </si>
  <si>
    <t>Kord aastas toimub nõukogu esimehe koostöövestlus juhatuse liikmega</t>
  </si>
  <si>
    <t>Kord aastas toimub nõukogude liikmete enesehindamine ning juhatuse liige annab tagasisidet nõukogu liikmete tööle</t>
  </si>
  <si>
    <t>Korraldab KuM</t>
  </si>
  <si>
    <t xml:space="preserve">Küberhügieeni koolituse (digitesti) läbinud töötajate osakaal aastas kõikidest asutuse töötajatest, kellele test saadeti.  </t>
  </si>
  <si>
    <t>Sihttase 2025</t>
  </si>
  <si>
    <t>?</t>
  </si>
  <si>
    <t>Sihttase 2026</t>
  </si>
  <si>
    <t>Sihttase 2027</t>
  </si>
  <si>
    <t>ei mõõdetud</t>
  </si>
  <si>
    <t>täpsustamisel</t>
  </si>
  <si>
    <r>
      <t>Olla ligipääsetavate etenduste väljatoomise ja näitekirjanduse arendamise eestvedaja etenduskunstide valdkonnas. </t>
    </r>
    <r>
      <rPr>
        <sz val="11"/>
        <color rgb="FF000000"/>
        <rFont val="Calibri"/>
        <family val="2"/>
        <charset val="186"/>
        <scheme val="minor"/>
      </rPr>
      <t> </t>
    </r>
  </si>
  <si>
    <t xml:space="preserve">Rakendatud arendustegevuste arv aastas - ligipääsetavate etenduste arv </t>
  </si>
  <si>
    <t>Rakendatud arendustegevustest osasaajate arv aastas - näitekirjanduse arendamine</t>
  </si>
  <si>
    <t>2</t>
  </si>
  <si>
    <t>Tutvustada läbi mitmekesise etendustegevuse eesti ja välismaist dramaturgiat</t>
  </si>
  <si>
    <t>Eesti algupärandite osakaal kogu repertuaarist</t>
  </si>
  <si>
    <t>Teismeliste ja noorte sihtgrupile suunatud uuslavastuste arv aastas (12-20)</t>
  </si>
  <si>
    <t>3</t>
  </si>
  <si>
    <t>Pakkuda mitmekesist ja ligipääsetavat etendusprogrammi  ning kvaliteetseid haridustegevusi</t>
  </si>
  <si>
    <t>Teismelised 12-16a</t>
  </si>
  <si>
    <t>Noored 17-20a</t>
  </si>
  <si>
    <t xml:space="preserve">Erinevatele vanuserühmadele antud etenduste külastajate arv </t>
  </si>
  <si>
    <t>Säilitatada ja arendada sihtasutusele kuuluvat kinnisvara ja vallasvara</t>
  </si>
  <si>
    <t>jah</t>
  </si>
  <si>
    <t>Lapsed, eakad, erivajadustega inimesed, lapsevanemad, ajutise tegevuspiiranguga inimesed, erineva keele- ja kultuuritaustaga inimesed ja kõik teised. Analüüsida teenuseid nn suutlikkussurvest ja kogemuse terviklikkusest lähtudes: st millist võimekust või suutlikkust iga konkreetne teenus kasutajalt igas üksikus kasutusetapis nõuab ning kuidas on võimalik suutlikkuste barjääre alandada või alternatiive pakkuda. Suuremaid investeeringuid nõudvate muudatuste puhul koostada tegevuskava.  Enesehindamine on tehtud ja tegevuskava koostatud / jah / ei</t>
  </si>
  <si>
    <t>Enesehindamine tehtud</t>
  </si>
  <si>
    <t>Rakendatud 2 tegevust tegevuskavast</t>
  </si>
  <si>
    <t>Seireindikaatorid</t>
  </si>
  <si>
    <t>1,5-2,0</t>
  </si>
  <si>
    <t> </t>
  </si>
  <si>
    <t>SA majandustegevusest laekunud tulu töötaja kohta (taandatud täistööajale, lisandväärtus 1 töötaja kohta).</t>
  </si>
  <si>
    <t>ei</t>
  </si>
  <si>
    <t xml:space="preserve">Sihtasutus lähtub andmete töötlemisel ning infosüsteemide pidamisel, kasutamisel ja arendamisel avaliku sektori infoturbe nõuetest ning Kultuuriministeeriumi haldusala IKT teenuste korraldamise põhimõtetest. </t>
  </si>
  <si>
    <t>KUM</t>
  </si>
  <si>
    <t xml:space="preserve">Juhatuse liikmele tulemustasu maksmine on seotud asutaja ootuste täitmisega (on sõlmitud tulemusleping või kokkulepe fikseeritud muul moel).  </t>
  </si>
  <si>
    <t>Tulemuslepingu või kokkuleppe sõlmimine</t>
  </si>
  <si>
    <t>Keskkonnahoidlikud hanked</t>
  </si>
  <si>
    <t>Majandustegevusest laekuva tulu osakaal kogutulust (v.a investeeringutoetused)</t>
  </si>
  <si>
    <t>Avaliku sektori toetus vs majandustegevusest laekunud tulude osakaal</t>
  </si>
  <si>
    <t>Kohaliku omavalitsuselt laekunud toetuste osakaal kogutulust</t>
  </si>
  <si>
    <t>Lühiajaliste võlgnevuste kattekordaja</t>
  </si>
  <si>
    <t>Tegevuskulu (v.a investeeringud ja amortisatsioonikulu) külastaja kohta aastas;</t>
  </si>
  <si>
    <t>Avaliku sektori toetus (v.a investeeringutoetused) külastaja kohta aastas;</t>
  </si>
  <si>
    <t>Majandusaasta aruanne</t>
  </si>
  <si>
    <t>Põhitegevuse tulem</t>
  </si>
  <si>
    <t>Lapsed ja noored</t>
  </si>
  <si>
    <t>vaheaasta</t>
  </si>
  <si>
    <t>Publikuuring</t>
  </si>
  <si>
    <t>Keskkonnahoidlike sündmuste korraldamise minimaalsete nõuete täitmine</t>
  </si>
  <si>
    <t>Sihtasutus rakendab sobivat juhtimissüsteemi ja hindab regulaarselt selle toimimist.</t>
  </si>
  <si>
    <t>&gt;=70%</t>
  </si>
  <si>
    <t>Organisatsiooni rahulolu uuring kord kolme aasta jooksul. Taandatuna 100%-le.</t>
  </si>
  <si>
    <t>Eraetendusasutustega või teatrikoolidega koostöös loodud uuslavastuste arv aastas</t>
  </si>
  <si>
    <t>Erarahastajatelt laekunud toetuste osakaal kogutulust (sh materiaalne tulu)</t>
  </si>
  <si>
    <t>Publikuuuring, kord kolme aasta jooksul</t>
  </si>
  <si>
    <t>Miinimumina vähemalt üks siseaudit ja võimalusel juhtimisealane sisemine hindamine kolme aasta jooksul.</t>
  </si>
  <si>
    <t>KOKKU</t>
  </si>
  <si>
    <t>Kinnisvara seisukord</t>
  </si>
  <si>
    <t>JUHTIMISKVALITEEDI EESMÄRGID</t>
  </si>
  <si>
    <t>FINANTSEESMÄRGID</t>
  </si>
  <si>
    <t>TÄPSEMAD VALDKONNAPÕHISED OOTUSED</t>
  </si>
  <si>
    <t>Sihttase 2028</t>
  </si>
  <si>
    <t>Teatri andmed / 5-palli skaalal</t>
  </si>
  <si>
    <t xml:space="preserve"> Teatri andmed
jah / ei</t>
  </si>
  <si>
    <t>Teatri andmed 
jah/ ei</t>
  </si>
  <si>
    <t>Teatri andmed 
jah / ei</t>
  </si>
  <si>
    <t>1.1.</t>
  </si>
  <si>
    <t>1.2.</t>
  </si>
  <si>
    <t>3.</t>
  </si>
  <si>
    <t>1.</t>
  </si>
  <si>
    <t>4.</t>
  </si>
  <si>
    <t>2.</t>
  </si>
  <si>
    <t>5.</t>
  </si>
  <si>
    <t>6.</t>
  </si>
  <si>
    <t>2.1.</t>
  </si>
  <si>
    <t>2.2.</t>
  </si>
  <si>
    <t>2.3.</t>
  </si>
  <si>
    <t>3.1.</t>
  </si>
  <si>
    <t>3.2.</t>
  </si>
  <si>
    <t>3.3.</t>
  </si>
  <si>
    <t>3.4.</t>
  </si>
  <si>
    <t>4.1.</t>
  </si>
  <si>
    <t>5.1.</t>
  </si>
  <si>
    <t>5.2.</t>
  </si>
  <si>
    <t>5.3.</t>
  </si>
  <si>
    <t>5.4.</t>
  </si>
  <si>
    <t>5.5.</t>
  </si>
  <si>
    <t>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</si>
</sst>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1"/>
      <name val="Calibri"/>
      <family val="2"/>
      <charset val="186"/>
      <scheme val="minor"/>
    </font>
    <font>
      <sz val="11"/>
      <color rgb="FF000000"/>
      <name val="Calibri"/>
      <family val="2"/>
      <charset val="186"/>
      <scheme val="minor"/>
    </font>
    <font>
      <b/>
      <sz val="11"/>
      <color rgb="FF000000"/>
      <name val="Calibri"/>
      <family val="2"/>
      <charset val="186"/>
      <scheme val="minor"/>
    </font>
    <font>
      <sz val="8"/>
      <name val="Calibri"/>
      <family val="2"/>
      <charset val="186"/>
      <scheme val="minor"/>
    </font>
    <font>
      <b/>
      <sz val="11"/>
      <name val="Calibri"/>
      <family val="2"/>
      <charset val="186"/>
      <scheme val="minor"/>
    </font>
    <font>
      <sz val="11"/>
      <color rgb="FF000000"/>
      <name val="Calibri"/>
      <family val="2"/>
      <charset val="186"/>
    </font>
    <font>
      <i/>
      <sz val="11"/>
      <color theme="1"/>
      <name val="Calibri"/>
      <family val="2"/>
      <charset val="186"/>
      <scheme val="minor"/>
    </font>
    <font>
      <sz val="11"/>
      <color rgb="FFFF0000"/>
      <name val="Calibri"/>
      <family val="2"/>
      <charset val="186"/>
      <scheme val="minor"/>
    </font>
  </fonts>
  <fills count="8">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lightGrid">
        <fgColor rgb="FFC9C9C9"/>
      </patternFill>
    </fill>
    <fill>
      <patternFill patternType="solid">
        <fgColor rgb="FFD6DCE4"/>
        <bgColor indexed="64"/>
      </patternFill>
    </fill>
    <fill>
      <patternFill patternType="lightDown">
        <fgColor auto="1"/>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78">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9" fontId="0" fillId="0" borderId="1" xfId="1" applyFont="1" applyBorder="1" applyAlignment="1">
      <alignment horizontal="center" vertical="center"/>
    </xf>
    <xf numFmtId="0" fontId="0" fillId="4" borderId="1" xfId="1"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9" fontId="0" fillId="0" borderId="1" xfId="0" applyNumberFormat="1" applyBorder="1" applyAlignment="1">
      <alignment horizontal="center" vertical="center"/>
    </xf>
    <xf numFmtId="9" fontId="0" fillId="4" borderId="1" xfId="0" applyNumberFormat="1" applyFill="1" applyBorder="1" applyAlignment="1">
      <alignment horizontal="center" vertical="center" wrapText="1"/>
    </xf>
    <xf numFmtId="0" fontId="2" fillId="0" borderId="1" xfId="0" applyFont="1" applyBorder="1" applyAlignment="1">
      <alignment vertical="center" wrapText="1"/>
    </xf>
    <xf numFmtId="49" fontId="2" fillId="0" borderId="1" xfId="0" applyNumberFormat="1" applyFont="1" applyBorder="1" applyAlignment="1">
      <alignment horizontal="center" vertical="center"/>
    </xf>
    <xf numFmtId="0" fontId="3" fillId="4" borderId="1" xfId="0" quotePrefix="1" applyFont="1" applyFill="1" applyBorder="1" applyAlignment="1">
      <alignment horizontal="center" vertical="center" wrapText="1"/>
    </xf>
    <xf numFmtId="0" fontId="0" fillId="0" borderId="0" xfId="0" applyAlignment="1">
      <alignment horizontal="center"/>
    </xf>
    <xf numFmtId="0" fontId="5" fillId="0" borderId="1" xfId="0" applyFont="1" applyBorder="1" applyAlignment="1">
      <alignment horizontal="center" vertical="center" wrapText="1"/>
    </xf>
    <xf numFmtId="0" fontId="0" fillId="0" borderId="1" xfId="0" applyBorder="1" applyAlignment="1">
      <alignment horizontal="center"/>
    </xf>
    <xf numFmtId="0" fontId="7" fillId="0" borderId="1" xfId="0" applyFont="1" applyBorder="1" applyAlignment="1">
      <alignment horizontal="center" vertical="center" wrapText="1"/>
    </xf>
    <xf numFmtId="49" fontId="2" fillId="3" borderId="1" xfId="0" applyNumberFormat="1" applyFont="1" applyFill="1" applyBorder="1" applyAlignment="1">
      <alignment horizontal="center" vertical="center"/>
    </xf>
    <xf numFmtId="9" fontId="0" fillId="0" borderId="1" xfId="1" applyFont="1" applyFill="1" applyBorder="1" applyAlignment="1">
      <alignment horizontal="center" vertical="center"/>
    </xf>
    <xf numFmtId="0" fontId="4" fillId="0" borderId="1" xfId="0" applyFont="1" applyBorder="1" applyAlignment="1">
      <alignment horizontal="center" vertical="center"/>
    </xf>
    <xf numFmtId="0" fontId="8" fillId="5" borderId="1" xfId="0" applyFont="1" applyFill="1" applyBorder="1"/>
    <xf numFmtId="0" fontId="3" fillId="0" borderId="1" xfId="0" applyFont="1" applyBorder="1" applyAlignment="1">
      <alignment horizontal="center" vertical="center" wrapText="1"/>
    </xf>
    <xf numFmtId="9" fontId="3" fillId="4" borderId="1" xfId="0" applyNumberFormat="1" applyFont="1" applyFill="1" applyBorder="1" applyAlignment="1">
      <alignment horizontal="center" vertical="center" wrapText="1"/>
    </xf>
    <xf numFmtId="9" fontId="3" fillId="0" borderId="1" xfId="0" applyNumberFormat="1" applyFont="1" applyBorder="1" applyAlignment="1">
      <alignment horizontal="center" vertical="center" wrapText="1"/>
    </xf>
    <xf numFmtId="10" fontId="3" fillId="0" borderId="1" xfId="1" applyNumberFormat="1" applyFont="1" applyBorder="1" applyAlignment="1">
      <alignment horizontal="center" vertical="center" wrapText="1"/>
    </xf>
    <xf numFmtId="3" fontId="1" fillId="0" borderId="1" xfId="1" applyNumberFormat="1" applyFont="1" applyBorder="1" applyAlignment="1">
      <alignment horizontal="center" vertical="center" wrapText="1"/>
    </xf>
    <xf numFmtId="0" fontId="1" fillId="0" borderId="1" xfId="1" applyNumberFormat="1" applyFont="1" applyBorder="1" applyAlignment="1">
      <alignment horizontal="center" vertical="center" wrapText="1"/>
    </xf>
    <xf numFmtId="9" fontId="3" fillId="0" borderId="1" xfId="1" applyFont="1" applyBorder="1" applyAlignment="1">
      <alignment horizontal="center" vertical="center" wrapText="1"/>
    </xf>
    <xf numFmtId="0" fontId="10" fillId="0" borderId="0" xfId="0" applyFont="1" applyAlignment="1">
      <alignment horizontal="center"/>
    </xf>
    <xf numFmtId="9" fontId="3" fillId="0" borderId="1" xfId="1" applyFont="1" applyBorder="1" applyAlignment="1">
      <alignment horizontal="center" vertical="center"/>
    </xf>
    <xf numFmtId="0" fontId="2" fillId="0" borderId="0" xfId="0" applyFont="1"/>
    <xf numFmtId="9" fontId="1" fillId="0" borderId="1" xfId="1" applyFont="1" applyFill="1" applyBorder="1" applyAlignment="1">
      <alignment horizontal="center" vertical="center"/>
    </xf>
    <xf numFmtId="0" fontId="1" fillId="0" borderId="1" xfId="1" applyNumberFormat="1" applyFont="1" applyFill="1" applyBorder="1" applyAlignment="1">
      <alignment horizontal="center" vertical="center" wrapText="1"/>
    </xf>
    <xf numFmtId="9" fontId="0" fillId="0" borderId="1" xfId="0" applyNumberFormat="1" applyBorder="1" applyAlignment="1">
      <alignment horizontal="center" vertical="center" wrapText="1"/>
    </xf>
    <xf numFmtId="0" fontId="8" fillId="7" borderId="1" xfId="0" applyFont="1" applyFill="1" applyBorder="1"/>
    <xf numFmtId="0" fontId="0" fillId="0" borderId="0" xfId="0" applyAlignment="1">
      <alignment horizontal="center" wrapText="1"/>
    </xf>
    <xf numFmtId="0" fontId="0" fillId="0" borderId="1" xfId="0" applyBorder="1" applyAlignment="1">
      <alignment horizontal="center" vertical="center" wrapText="1"/>
    </xf>
    <xf numFmtId="3" fontId="3" fillId="4" borderId="1" xfId="0" applyNumberFormat="1" applyFont="1" applyFill="1" applyBorder="1" applyAlignment="1">
      <alignment horizontal="center" vertical="center" wrapText="1"/>
    </xf>
    <xf numFmtId="3" fontId="3" fillId="0" borderId="1" xfId="0" applyNumberFormat="1" applyFont="1" applyBorder="1" applyAlignment="1">
      <alignment horizontal="center" vertical="center" wrapText="1"/>
    </xf>
    <xf numFmtId="3" fontId="0" fillId="0" borderId="1" xfId="0" applyNumberFormat="1" applyBorder="1" applyAlignment="1">
      <alignment horizontal="center" vertical="center"/>
    </xf>
    <xf numFmtId="3" fontId="0" fillId="4"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10" fontId="0" fillId="0" borderId="1" xfId="0" applyNumberFormat="1" applyBorder="1" applyAlignment="1">
      <alignment horizontal="center" vertical="center" wrapText="1"/>
    </xf>
    <xf numFmtId="49" fontId="3" fillId="0" borderId="1" xfId="0" applyNumberFormat="1" applyFont="1" applyBorder="1" applyAlignment="1">
      <alignment horizontal="center" vertical="center" wrapText="1"/>
    </xf>
    <xf numFmtId="9" fontId="1" fillId="0" borderId="1" xfId="1" applyFont="1" applyBorder="1" applyAlignment="1">
      <alignment horizontal="center" vertical="center" wrapText="1"/>
    </xf>
    <xf numFmtId="9" fontId="0" fillId="0" borderId="1" xfId="1" applyFont="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9" fontId="1" fillId="0" borderId="1" xfId="1" applyFont="1" applyFill="1" applyBorder="1" applyAlignment="1">
      <alignment horizontal="center" vertical="center" wrapText="1"/>
    </xf>
    <xf numFmtId="0" fontId="4" fillId="4" borderId="1" xfId="0" applyFont="1" applyFill="1" applyBorder="1" applyAlignment="1">
      <alignment horizontal="center" vertical="center" wrapText="1"/>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left" vertical="center" wrapText="1"/>
    </xf>
    <xf numFmtId="49" fontId="2" fillId="0" borderId="1" xfId="0" applyNumberFormat="1" applyFont="1" applyBorder="1" applyAlignment="1">
      <alignment horizontal="center" vertical="center"/>
    </xf>
    <xf numFmtId="9" fontId="1" fillId="0" borderId="1" xfId="1" applyFont="1" applyBorder="1" applyAlignment="1">
      <alignment horizontal="center" vertical="center" wrapText="1"/>
    </xf>
    <xf numFmtId="0" fontId="2" fillId="6"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9" fontId="9" fillId="0" borderId="1" xfId="1" applyFont="1" applyBorder="1" applyAlignment="1">
      <alignment horizontal="center" vertical="center" wrapText="1"/>
    </xf>
    <xf numFmtId="9" fontId="0" fillId="0" borderId="1" xfId="1" applyFont="1" applyBorder="1" applyAlignment="1">
      <alignment horizontal="center" vertical="center" wrapText="1"/>
    </xf>
    <xf numFmtId="0" fontId="2" fillId="0" borderId="1" xfId="0" applyFont="1" applyBorder="1" applyAlignment="1">
      <alignment horizontal="center" vertical="center"/>
    </xf>
    <xf numFmtId="0" fontId="0" fillId="0" borderId="0" xfId="0" applyFill="1" applyAlignment="1">
      <alignment horizontal="center"/>
    </xf>
    <xf numFmtId="0" fontId="0" fillId="0" borderId="0" xfId="0" applyFill="1" applyAlignment="1">
      <alignment horizontal="center" wrapText="1"/>
    </xf>
    <xf numFmtId="0" fontId="0" fillId="0" borderId="1" xfId="0" applyFill="1" applyBorder="1" applyAlignment="1">
      <alignment horizontal="center"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cellXfs>
  <cellStyles count="2">
    <cellStyle name="Normaallaad" xfId="0" builtinId="0"/>
    <cellStyle name="Protsent" xfId="1" builtinId="5"/>
  </cellStyles>
  <dxfs count="0"/>
  <tableStyles count="0" defaultTableStyle="TableStyleMedium2" defaultPivotStyle="PivotStyleLight16"/>
  <colors>
    <mruColors>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Katre Väli" id="{313D3948-A6F1-4E96-B6B4-C4A03A085B1C}" userId="S::katre.vali@kul.ee::25373d1d-2520-45b5-a5e9-05db46c0784e" providerId="AD"/>
  <person displayName="Laur Kaunissaare" id="{9FD49E5A-DECA-4A87-8975-DC100BDCE21E}" userId="S::laur.kaunissaare@kul.ee::8ea0ac3b-bf85-4a36-96af-f25c96bcdda1" providerId="AD"/>
  <person displayName="Marie Anett Heinsalu" id="{4F531049-D9C1-4C0E-A7EB-458359A45BAD}" userId="S::marie.anett.heinsalu@kul.ee::05f4eec1-6cc1-49b3-8d6e-1061b66085c9" providerId="AD"/>
</personList>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 dT="2024-02-16T14:45:07.10" personId="{9FD49E5A-DECA-4A87-8975-DC100BDCE21E}" id="{FC056A7C-338C-483F-ADA3-97F258EF27BD}">
    <text>Piirangutega aasta.</text>
  </threadedComment>
  <threadedComment ref="G1" dT="2024-02-16T14:45:16.97" personId="{9FD49E5A-DECA-4A87-8975-DC100BDCE21E}" id="{A8170C49-1E79-4C39-B471-158BDB500536}">
    <text>Piirangutega aasta.</text>
  </threadedComment>
  <threadedComment ref="D13" dT="2024-03-12T15:32:31.57" personId="{313D3948-A6F1-4E96-B6B4-C4A03A085B1C}" id="{19C38EAC-7F8D-462F-BD57-02E25623B498}">
    <text>Draamateatris hetkel tehtavad erinevad programmid - noorte esseevõistlus, näitekirjandise esimesed lugemised, näidendiraamatute väljaandmine.</text>
  </threadedComment>
  <threadedComment ref="C15" dT="2024-08-02T12:06:31.30" personId="{313D3948-A6F1-4E96-B6B4-C4A03A085B1C}" id="{CC6026F0-14D8-4A8D-A5C0-F94A809FE93B}">
    <text>algupärand on kõik Eesti autorite loodud materjalid, mida lavastuste aluseks kasutatakse (dramatiseering, näidend, koreograafia, filmistsenaarium jne)</text>
  </threadedComment>
  <threadedComment ref="K20" dT="2024-02-16T15:49:37.40" personId="{9FD49E5A-DECA-4A87-8975-DC100BDCE21E}" id="{089C36DE-E873-4085-A892-F972491D4B4D}">
    <text>Osakaalud arutelukoht. Hetkel seatud selle loogikaga, et kaasatakse teismelisi  varasemate eelteismeliste asemel.</text>
  </threadedComment>
  <threadedComment ref="K29" dT="2024-02-16T16:00:12.82" personId="{9FD49E5A-DECA-4A87-8975-DC100BDCE21E}" id="{654B4AFD-73A9-49DC-8024-655E38039D0A}">
    <text>Osakaalud sihtgruppide lõikes arutelukoht. Hetkel seatud selle loogikaga, et kaasatakse teismelisi eelteismeliste asemel.</text>
  </threadedComment>
  <threadedComment ref="D37" dT="2024-08-02T11:55:59.24" personId="{313D3948-A6F1-4E96-B6B4-C4A03A085B1C}" id="{1D8835DE-EC91-45CD-8E9D-F3436E72AC25}">
    <text>Kasutame RKAS-e hindamisskaalat, etendusasutuse enesehindamine selle põhjal.</text>
  </threadedComment>
  <threadedComment ref="D37" dT="2025-07-30T07:34:54.89" personId="{4F531049-D9C1-4C0E-A7EB-458359A45BAD}" id="{30AB0BC5-147A-46E5-A69E-972D22207ECE}" parentId="{1D8835DE-EC91-45CD-8E9D-F3436E72AC25}">
    <text>1 - Väga hea
2 - Hea
3 - Rahuldav
4 - Halb
5 - Mitterahuldav</text>
  </threadedComment>
  <threadedComment ref="B38" dT="2024-02-16T16:27:31.54" personId="{9FD49E5A-DECA-4A87-8975-DC100BDCE21E}" id="{42E118A2-93B1-4F61-BDA2-A0680BBA966D}">
    <text>Tulemusindikaatorid (panustavad „Kultuuri arengukava 2021–2030“ alaeesmärgi mõõdikusse „Eesti kultuurikorralduse keskkonnamõju“).</text>
  </threadedComment>
  <threadedComment ref="C44" dT="2025-04-07T12:20:25.50" personId="{4F531049-D9C1-4C0E-A7EB-458359A45BAD}" id="{DFB6E490-40DB-453E-B0FC-F4D969B21D27}">
    <text>https://kliimaministeerium.ee/rohereform-kliima/rohereform/keskkonnahoidlike-urituste-korraldamise-riiklik-juhis</text>
    <extLst>
      <x:ext xmlns:xltc2="http://schemas.microsoft.com/office/spreadsheetml/2020/threadedcomments2" uri="{F7C98A9C-CBB3-438F-8F68-D28B6AF4A901}">
        <xltc2:checksum>3979949719</xltc2:checksum>
        <xltc2:hyperlink startIndex="0" length="112" url="https://kliimaministeerium.ee/rohereform-kliima/rohereform/keskkonnahoidlike-urituste-korraldamise-riiklik-juhis"/>
      </x:ext>
    </extLst>
  </threadedComment>
  <threadedComment ref="C46" dT="2024-08-02T12:02:29.95" personId="{313D3948-A6F1-4E96-B6B4-C4A03A085B1C}" id="{90F2F4AD-5DB9-4390-BE14-27C44307A045}">
    <text>vt ligipääsetavuse koolitusmaterjale: https://kul.ee/ligipaasetavuse-edendamine-kultuuris-ja-spordis</text>
  </threadedComment>
  <threadedComment ref="C58" dT="2025-04-07T12:19:18.98" personId="{4F531049-D9C1-4C0E-A7EB-458359A45BAD}" id="{8C0B29E1-443E-4997-A8A3-46F68EE79DFB}">
    <text xml:space="preserve">RVS § 87 kohaselt on siseaudit kohustuslik kui tulu või bilansimaht suurem kui 2,0 mln EUR. Vabatahtlik on läbi viia kvaliteedialaseid sisemisi hindamisi, aluseks Rahandusministeeriumi soovituslikud mudelid. </text>
  </threadedComment>
  <threadedComment ref="C60" dT="2024-08-02T11:51:37.40" personId="{313D3948-A6F1-4E96-B6B4-C4A03A085B1C}" id="{494DAA13-C8C3-4900-A7CC-8F2F4281A260}">
    <text>Metoodika, anonüümne küsimustik olemas, jagatakse kõigi nõukogu liikmetega KUM-i poolt.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91627-796E-4EB5-9FB0-BCCF67A8C60E}">
  <sheetPr>
    <pageSetUpPr fitToPage="1"/>
  </sheetPr>
  <dimension ref="A1:P62"/>
  <sheetViews>
    <sheetView tabSelected="1" zoomScale="80" zoomScaleNormal="80" workbookViewId="0">
      <pane ySplit="1" topLeftCell="A2" activePane="bottomLeft" state="frozen"/>
      <selection activeCell="C1" sqref="C1"/>
      <selection pane="bottomLeft" activeCell="E56" sqref="E56"/>
    </sheetView>
  </sheetViews>
  <sheetFormatPr defaultRowHeight="15" x14ac:dyDescent="0.25"/>
  <cols>
    <col min="1" max="1" width="7.28515625" style="33" customWidth="1"/>
    <col min="2" max="2" width="30.85546875" customWidth="1"/>
    <col min="3" max="3" width="37.42578125" customWidth="1"/>
    <col min="4" max="4" width="34.28515625" customWidth="1"/>
    <col min="5" max="5" width="15.140625" customWidth="1"/>
    <col min="6" max="14" width="14.7109375" customWidth="1"/>
    <col min="15" max="15" width="36.5703125" customWidth="1"/>
    <col min="16" max="16" width="44.7109375" customWidth="1"/>
  </cols>
  <sheetData>
    <row r="1" spans="1:16" s="16" customFormat="1" ht="18.600000000000001" customHeight="1" x14ac:dyDescent="0.25">
      <c r="A1" s="9" t="s">
        <v>0</v>
      </c>
      <c r="B1" s="9" t="s">
        <v>1</v>
      </c>
      <c r="C1" s="10" t="s">
        <v>2</v>
      </c>
      <c r="D1" s="9" t="s">
        <v>3</v>
      </c>
      <c r="E1" s="9">
        <v>2019</v>
      </c>
      <c r="F1" s="10">
        <v>2020</v>
      </c>
      <c r="G1" s="10">
        <v>2021</v>
      </c>
      <c r="H1" s="10">
        <v>2022</v>
      </c>
      <c r="I1" s="10">
        <v>2023</v>
      </c>
      <c r="J1" s="10">
        <v>2024</v>
      </c>
      <c r="K1" s="10" t="s">
        <v>35</v>
      </c>
      <c r="L1" s="10" t="s">
        <v>37</v>
      </c>
      <c r="M1" s="10" t="s">
        <v>38</v>
      </c>
      <c r="N1" s="10" t="s">
        <v>92</v>
      </c>
    </row>
    <row r="2" spans="1:16" s="16" customFormat="1" ht="24.95" customHeight="1" x14ac:dyDescent="0.25">
      <c r="A2" s="56" t="s">
        <v>4</v>
      </c>
      <c r="B2" s="56"/>
      <c r="C2" s="56"/>
      <c r="D2" s="56"/>
      <c r="E2" s="56"/>
      <c r="F2" s="56"/>
      <c r="G2" s="56"/>
      <c r="H2" s="56"/>
      <c r="I2" s="56"/>
      <c r="J2" s="56"/>
      <c r="K2" s="56"/>
      <c r="L2" s="56"/>
      <c r="M2" s="56"/>
      <c r="N2" s="56"/>
    </row>
    <row r="3" spans="1:16" s="16" customFormat="1" ht="18.600000000000001" customHeight="1" x14ac:dyDescent="0.25">
      <c r="A3" s="71" t="s">
        <v>100</v>
      </c>
      <c r="B3" s="58" t="s">
        <v>5</v>
      </c>
      <c r="C3" s="71" t="s">
        <v>6</v>
      </c>
      <c r="D3" s="57" t="s">
        <v>85</v>
      </c>
      <c r="E3" s="55" t="s">
        <v>39</v>
      </c>
      <c r="F3" s="55" t="s">
        <v>39</v>
      </c>
      <c r="G3" s="55" t="s">
        <v>39</v>
      </c>
      <c r="H3" s="55" t="s">
        <v>39</v>
      </c>
      <c r="I3" s="55" t="s">
        <v>39</v>
      </c>
      <c r="J3" s="69" t="s">
        <v>40</v>
      </c>
      <c r="K3" s="66" t="s">
        <v>77</v>
      </c>
      <c r="L3" s="66" t="s">
        <v>77</v>
      </c>
      <c r="M3" s="70">
        <v>0.8</v>
      </c>
      <c r="N3" s="66" t="s">
        <v>77</v>
      </c>
    </row>
    <row r="4" spans="1:16" s="16" customFormat="1" ht="18.600000000000001" customHeight="1" x14ac:dyDescent="0.25">
      <c r="A4" s="71"/>
      <c r="B4" s="58"/>
      <c r="C4" s="71"/>
      <c r="D4" s="57"/>
      <c r="E4" s="55"/>
      <c r="F4" s="55"/>
      <c r="G4" s="55"/>
      <c r="H4" s="55"/>
      <c r="I4" s="55"/>
      <c r="J4" s="69"/>
      <c r="K4" s="66"/>
      <c r="L4" s="66"/>
      <c r="M4" s="70"/>
      <c r="N4" s="66"/>
    </row>
    <row r="5" spans="1:16" s="16" customFormat="1" ht="18.600000000000001" customHeight="1" x14ac:dyDescent="0.25">
      <c r="A5" s="71"/>
      <c r="B5" s="58"/>
      <c r="C5" s="71"/>
      <c r="D5" s="57"/>
      <c r="E5" s="55"/>
      <c r="F5" s="55"/>
      <c r="G5" s="55"/>
      <c r="H5" s="55"/>
      <c r="I5" s="55"/>
      <c r="J5" s="69"/>
      <c r="K5" s="66"/>
      <c r="L5" s="66"/>
      <c r="M5" s="70"/>
      <c r="N5" s="66"/>
    </row>
    <row r="6" spans="1:16" s="16" customFormat="1" ht="39.6" customHeight="1" x14ac:dyDescent="0.25">
      <c r="A6" s="49" t="s">
        <v>102</v>
      </c>
      <c r="B6" s="58"/>
      <c r="C6" s="7" t="s">
        <v>7</v>
      </c>
      <c r="D6" s="6" t="s">
        <v>12</v>
      </c>
      <c r="E6" s="25">
        <v>0.85</v>
      </c>
      <c r="F6" s="25">
        <v>0.85</v>
      </c>
      <c r="G6" s="25">
        <v>0.86</v>
      </c>
      <c r="H6" s="25">
        <v>0.86</v>
      </c>
      <c r="I6" s="25">
        <v>0.92</v>
      </c>
      <c r="J6" s="47">
        <v>0.94</v>
      </c>
      <c r="K6" s="12">
        <v>0.75</v>
      </c>
      <c r="L6" s="12">
        <v>0.75</v>
      </c>
      <c r="M6" s="12">
        <v>0.75</v>
      </c>
      <c r="N6" s="12">
        <v>0.75</v>
      </c>
    </row>
    <row r="7" spans="1:16" s="16" customFormat="1" ht="50.45" customHeight="1" x14ac:dyDescent="0.25">
      <c r="A7" s="49" t="s">
        <v>99</v>
      </c>
      <c r="B7" s="58"/>
      <c r="C7" s="1" t="s">
        <v>8</v>
      </c>
      <c r="D7" s="39" t="s">
        <v>82</v>
      </c>
      <c r="E7" s="39" t="s">
        <v>39</v>
      </c>
      <c r="F7" s="39" t="s">
        <v>39</v>
      </c>
      <c r="G7" s="2" t="s">
        <v>39</v>
      </c>
      <c r="H7" s="39" t="s">
        <v>39</v>
      </c>
      <c r="I7" s="39" t="s">
        <v>39</v>
      </c>
      <c r="J7" s="39" t="s">
        <v>39</v>
      </c>
      <c r="K7" s="21" t="s">
        <v>77</v>
      </c>
      <c r="L7" s="21" t="s">
        <v>81</v>
      </c>
      <c r="M7" s="34" t="s">
        <v>77</v>
      </c>
      <c r="N7" s="34" t="s">
        <v>77</v>
      </c>
    </row>
    <row r="8" spans="1:16" s="16" customFormat="1" ht="21.95" customHeight="1" x14ac:dyDescent="0.25">
      <c r="A8" s="49" t="s">
        <v>101</v>
      </c>
      <c r="B8" s="58"/>
      <c r="C8" s="7" t="s">
        <v>9</v>
      </c>
      <c r="D8" s="8" t="s">
        <v>10</v>
      </c>
      <c r="E8" s="8">
        <v>496</v>
      </c>
      <c r="F8" s="8">
        <v>368</v>
      </c>
      <c r="G8" s="5">
        <v>338</v>
      </c>
      <c r="H8" s="3">
        <v>501</v>
      </c>
      <c r="I8" s="3">
        <v>541</v>
      </c>
      <c r="J8" s="35">
        <v>484</v>
      </c>
      <c r="K8" s="3">
        <v>475</v>
      </c>
      <c r="L8" s="3">
        <v>500</v>
      </c>
      <c r="M8" s="3">
        <v>500</v>
      </c>
      <c r="N8" s="3">
        <v>500</v>
      </c>
    </row>
    <row r="9" spans="1:16" s="16" customFormat="1" ht="21.95" customHeight="1" x14ac:dyDescent="0.25">
      <c r="A9" s="49" t="s">
        <v>103</v>
      </c>
      <c r="B9" s="58"/>
      <c r="C9" s="1" t="s">
        <v>11</v>
      </c>
      <c r="D9" s="6" t="s">
        <v>10</v>
      </c>
      <c r="E9" s="6">
        <v>8</v>
      </c>
      <c r="F9" s="8">
        <v>7</v>
      </c>
      <c r="G9" s="3">
        <v>5</v>
      </c>
      <c r="H9" s="3">
        <v>9</v>
      </c>
      <c r="I9" s="3">
        <v>10</v>
      </c>
      <c r="J9" s="29">
        <v>12</v>
      </c>
      <c r="K9" s="3">
        <v>9</v>
      </c>
      <c r="L9" s="3">
        <v>9</v>
      </c>
      <c r="M9" s="3">
        <v>9</v>
      </c>
      <c r="N9" s="3">
        <v>9</v>
      </c>
    </row>
    <row r="10" spans="1:16" s="16" customFormat="1" ht="24.95" customHeight="1" x14ac:dyDescent="0.25">
      <c r="A10" s="67" t="s">
        <v>91</v>
      </c>
      <c r="B10" s="67"/>
      <c r="C10" s="67"/>
      <c r="D10" s="67"/>
      <c r="E10" s="67"/>
      <c r="F10" s="67"/>
      <c r="G10" s="67"/>
      <c r="H10" s="67"/>
      <c r="I10" s="67"/>
      <c r="J10" s="67"/>
      <c r="K10" s="67"/>
      <c r="L10" s="67"/>
      <c r="M10" s="67"/>
      <c r="N10" s="67"/>
      <c r="O10" s="72"/>
      <c r="P10" s="72"/>
    </row>
    <row r="11" spans="1:16" s="16" customFormat="1" ht="24.95" customHeight="1" x14ac:dyDescent="0.25">
      <c r="A11" s="20" t="s">
        <v>100</v>
      </c>
      <c r="B11" s="68" t="s">
        <v>41</v>
      </c>
      <c r="C11" s="68"/>
      <c r="D11" s="68"/>
      <c r="E11" s="68"/>
      <c r="F11" s="68"/>
      <c r="G11" s="68"/>
      <c r="H11" s="68"/>
      <c r="I11" s="68"/>
      <c r="J11" s="68"/>
      <c r="K11" s="68"/>
      <c r="L11" s="68"/>
      <c r="M11" s="68"/>
      <c r="N11" s="68"/>
      <c r="O11" s="72"/>
      <c r="P11" s="72"/>
    </row>
    <row r="12" spans="1:16" s="16" customFormat="1" ht="41.45" customHeight="1" x14ac:dyDescent="0.25">
      <c r="A12" s="14" t="s">
        <v>97</v>
      </c>
      <c r="B12" s="61"/>
      <c r="C12" s="17" t="s">
        <v>42</v>
      </c>
      <c r="D12" s="39" t="s">
        <v>12</v>
      </c>
      <c r="E12" s="39" t="s">
        <v>39</v>
      </c>
      <c r="F12" s="39" t="s">
        <v>39</v>
      </c>
      <c r="G12" s="39" t="s">
        <v>39</v>
      </c>
      <c r="H12" s="39" t="s">
        <v>39</v>
      </c>
      <c r="I12" s="39" t="s">
        <v>39</v>
      </c>
      <c r="J12" s="74">
        <v>19</v>
      </c>
      <c r="K12" s="39">
        <v>20</v>
      </c>
      <c r="L12" s="39">
        <v>20</v>
      </c>
      <c r="M12" s="39">
        <v>20</v>
      </c>
      <c r="N12" s="39">
        <v>20</v>
      </c>
      <c r="O12" s="73"/>
      <c r="P12" s="73"/>
    </row>
    <row r="13" spans="1:16" s="16" customFormat="1" ht="41.45" customHeight="1" x14ac:dyDescent="0.25">
      <c r="A13" s="14" t="s">
        <v>98</v>
      </c>
      <c r="B13" s="61"/>
      <c r="C13" s="17" t="s">
        <v>43</v>
      </c>
      <c r="D13" s="39" t="s">
        <v>12</v>
      </c>
      <c r="E13" s="39" t="s">
        <v>39</v>
      </c>
      <c r="F13" s="39" t="s">
        <v>39</v>
      </c>
      <c r="G13" s="39" t="s">
        <v>39</v>
      </c>
      <c r="H13" s="39" t="s">
        <v>39</v>
      </c>
      <c r="I13" s="39" t="s">
        <v>39</v>
      </c>
      <c r="J13" s="24">
        <v>2276</v>
      </c>
      <c r="K13" s="24">
        <v>2000</v>
      </c>
      <c r="L13" s="24">
        <v>2000</v>
      </c>
      <c r="M13" s="24">
        <v>2000</v>
      </c>
      <c r="N13" s="24">
        <v>2000</v>
      </c>
      <c r="O13" s="73"/>
      <c r="P13" s="72"/>
    </row>
    <row r="14" spans="1:16" s="16" customFormat="1" ht="24.95" customHeight="1" x14ac:dyDescent="0.25">
      <c r="A14" s="20" t="s">
        <v>102</v>
      </c>
      <c r="B14" s="64" t="s">
        <v>45</v>
      </c>
      <c r="C14" s="64"/>
      <c r="D14" s="64"/>
      <c r="E14" s="64"/>
      <c r="F14" s="64"/>
      <c r="G14" s="64"/>
      <c r="H14" s="64"/>
      <c r="I14" s="64"/>
      <c r="J14" s="64"/>
      <c r="K14" s="64"/>
      <c r="L14" s="64"/>
      <c r="M14" s="64"/>
      <c r="N14" s="64"/>
      <c r="O14" s="72"/>
      <c r="P14" s="72"/>
    </row>
    <row r="15" spans="1:16" s="16" customFormat="1" ht="36" customHeight="1" x14ac:dyDescent="0.25">
      <c r="A15" s="14" t="s">
        <v>105</v>
      </c>
      <c r="B15" s="60"/>
      <c r="C15" s="1" t="s">
        <v>46</v>
      </c>
      <c r="D15" s="6" t="s">
        <v>10</v>
      </c>
      <c r="E15" s="25">
        <v>0.33</v>
      </c>
      <c r="F15" s="11">
        <v>0.4</v>
      </c>
      <c r="G15" s="11">
        <v>0.44</v>
      </c>
      <c r="H15" s="12">
        <v>0.54</v>
      </c>
      <c r="I15" s="12">
        <v>0.44</v>
      </c>
      <c r="J15" s="51">
        <v>0.35</v>
      </c>
      <c r="K15" s="51">
        <v>0.35</v>
      </c>
      <c r="L15" s="51">
        <v>0.35</v>
      </c>
      <c r="M15" s="51">
        <v>0.35</v>
      </c>
      <c r="N15" s="51">
        <v>0.35</v>
      </c>
      <c r="O15" s="72"/>
      <c r="P15" s="72"/>
    </row>
    <row r="16" spans="1:16" s="16" customFormat="1" ht="40.9" customHeight="1" x14ac:dyDescent="0.25">
      <c r="A16" s="14" t="s">
        <v>106</v>
      </c>
      <c r="B16" s="60"/>
      <c r="C16" s="19" t="s">
        <v>83</v>
      </c>
      <c r="D16" s="6" t="s">
        <v>10</v>
      </c>
      <c r="E16" s="6">
        <v>0</v>
      </c>
      <c r="F16" s="6">
        <v>0</v>
      </c>
      <c r="G16" s="6">
        <v>0</v>
      </c>
      <c r="H16" s="6">
        <v>0</v>
      </c>
      <c r="I16" s="3">
        <v>1</v>
      </c>
      <c r="J16" s="29">
        <v>1</v>
      </c>
      <c r="K16" s="3">
        <v>1</v>
      </c>
      <c r="L16" s="3">
        <v>1</v>
      </c>
      <c r="M16" s="3">
        <v>1</v>
      </c>
      <c r="N16" s="3">
        <v>1</v>
      </c>
      <c r="O16" s="72"/>
      <c r="P16" s="72"/>
    </row>
    <row r="17" spans="1:15" s="16" customFormat="1" ht="40.9" customHeight="1" x14ac:dyDescent="0.25">
      <c r="A17" s="14" t="s">
        <v>107</v>
      </c>
      <c r="B17" s="60"/>
      <c r="C17" s="19" t="s">
        <v>47</v>
      </c>
      <c r="D17" s="6" t="s">
        <v>10</v>
      </c>
      <c r="E17" s="6">
        <v>0</v>
      </c>
      <c r="F17" s="6">
        <v>0</v>
      </c>
      <c r="G17" s="6">
        <v>0</v>
      </c>
      <c r="H17" s="6">
        <v>0</v>
      </c>
      <c r="I17" s="3">
        <v>1</v>
      </c>
      <c r="J17" s="29">
        <v>0</v>
      </c>
      <c r="K17" s="3">
        <v>1</v>
      </c>
      <c r="L17" s="3">
        <v>1</v>
      </c>
      <c r="M17" s="3">
        <v>1</v>
      </c>
      <c r="N17" s="3">
        <v>1</v>
      </c>
    </row>
    <row r="18" spans="1:15" s="16" customFormat="1" ht="24.95" customHeight="1" x14ac:dyDescent="0.25">
      <c r="A18" s="20" t="s">
        <v>99</v>
      </c>
      <c r="B18" s="64" t="s">
        <v>49</v>
      </c>
      <c r="C18" s="64"/>
      <c r="D18" s="64"/>
      <c r="E18" s="64"/>
      <c r="F18" s="64"/>
      <c r="G18" s="64"/>
      <c r="H18" s="64"/>
      <c r="I18" s="64"/>
      <c r="J18" s="64"/>
      <c r="K18" s="64"/>
      <c r="L18" s="64"/>
      <c r="M18" s="64"/>
      <c r="N18" s="64"/>
    </row>
    <row r="19" spans="1:15" s="16" customFormat="1" ht="45.75" customHeight="1" x14ac:dyDescent="0.25">
      <c r="A19" s="65" t="s">
        <v>108</v>
      </c>
      <c r="B19" s="60"/>
      <c r="C19" s="17" t="s">
        <v>13</v>
      </c>
      <c r="D19" s="6"/>
      <c r="E19" s="6"/>
      <c r="F19" s="7"/>
      <c r="G19" s="3"/>
      <c r="H19" s="3"/>
      <c r="I19" s="3"/>
      <c r="J19" s="3"/>
      <c r="K19" s="3"/>
      <c r="L19" s="3"/>
      <c r="M19" s="3"/>
      <c r="N19" s="3"/>
    </row>
    <row r="20" spans="1:15" s="16" customFormat="1" ht="22.15" hidden="1" customHeight="1" x14ac:dyDescent="0.25">
      <c r="A20" s="65"/>
      <c r="B20" s="60"/>
      <c r="C20" s="2" t="s">
        <v>14</v>
      </c>
      <c r="D20" s="6" t="s">
        <v>10</v>
      </c>
      <c r="E20" s="6">
        <v>0</v>
      </c>
      <c r="F20" s="8">
        <v>0</v>
      </c>
      <c r="G20" s="3">
        <v>0</v>
      </c>
      <c r="H20" s="3">
        <v>0</v>
      </c>
      <c r="I20" s="3" t="s">
        <v>36</v>
      </c>
      <c r="J20" s="3" t="s">
        <v>36</v>
      </c>
      <c r="K20" s="3">
        <v>0</v>
      </c>
      <c r="L20" s="3">
        <v>0</v>
      </c>
      <c r="M20" s="3">
        <v>0</v>
      </c>
      <c r="N20" s="3">
        <v>0</v>
      </c>
    </row>
    <row r="21" spans="1:15" s="16" customFormat="1" ht="22.15" hidden="1" customHeight="1" x14ac:dyDescent="0.25">
      <c r="A21" s="65"/>
      <c r="B21" s="60"/>
      <c r="C21" s="2" t="s">
        <v>15</v>
      </c>
      <c r="D21" s="6" t="s">
        <v>10</v>
      </c>
      <c r="E21" s="6">
        <v>0</v>
      </c>
      <c r="F21" s="8">
        <v>15</v>
      </c>
      <c r="G21" s="3">
        <v>14</v>
      </c>
      <c r="H21" s="3">
        <v>13</v>
      </c>
      <c r="I21" s="3" t="s">
        <v>36</v>
      </c>
      <c r="J21" s="3" t="s">
        <v>36</v>
      </c>
      <c r="K21" s="3">
        <v>0</v>
      </c>
      <c r="L21" s="3">
        <v>0</v>
      </c>
      <c r="M21" s="3">
        <v>0</v>
      </c>
      <c r="N21" s="3">
        <v>0</v>
      </c>
    </row>
    <row r="22" spans="1:15" s="16" customFormat="1" ht="22.15" hidden="1" customHeight="1" x14ac:dyDescent="0.25">
      <c r="A22" s="65"/>
      <c r="B22" s="60"/>
      <c r="C22" s="2" t="s">
        <v>50</v>
      </c>
      <c r="D22" s="6" t="s">
        <v>10</v>
      </c>
      <c r="E22" s="6">
        <v>0</v>
      </c>
      <c r="F22" s="8">
        <v>0</v>
      </c>
      <c r="G22" s="3">
        <v>0</v>
      </c>
      <c r="H22" s="3">
        <v>0</v>
      </c>
      <c r="I22" s="3" t="s">
        <v>36</v>
      </c>
      <c r="J22" s="3" t="s">
        <v>36</v>
      </c>
      <c r="K22" s="3">
        <v>20</v>
      </c>
      <c r="L22" s="3">
        <v>20</v>
      </c>
      <c r="M22" s="3">
        <v>20</v>
      </c>
      <c r="N22" s="3">
        <v>20</v>
      </c>
    </row>
    <row r="23" spans="1:15" s="16" customFormat="1" ht="22.15" hidden="1" customHeight="1" x14ac:dyDescent="0.25">
      <c r="A23" s="65"/>
      <c r="B23" s="60"/>
      <c r="C23" s="2" t="s">
        <v>51</v>
      </c>
      <c r="D23" s="6" t="s">
        <v>10</v>
      </c>
      <c r="E23" s="6">
        <v>0</v>
      </c>
      <c r="F23" s="8">
        <v>0</v>
      </c>
      <c r="G23" s="3">
        <v>0</v>
      </c>
      <c r="H23" s="3">
        <v>0</v>
      </c>
      <c r="I23" s="3" t="s">
        <v>36</v>
      </c>
      <c r="J23" s="3" t="s">
        <v>36</v>
      </c>
      <c r="K23" s="18"/>
      <c r="L23" s="3">
        <v>10</v>
      </c>
      <c r="M23" s="3">
        <v>10</v>
      </c>
      <c r="N23" s="3">
        <v>10</v>
      </c>
    </row>
    <row r="24" spans="1:15" s="16" customFormat="1" ht="21.95" customHeight="1" x14ac:dyDescent="0.25">
      <c r="A24" s="65"/>
      <c r="B24" s="60"/>
      <c r="C24" s="2" t="s">
        <v>76</v>
      </c>
      <c r="D24" s="6" t="s">
        <v>10</v>
      </c>
      <c r="E24" s="6">
        <v>27</v>
      </c>
      <c r="F24" s="6">
        <v>15</v>
      </c>
      <c r="G24" s="24">
        <v>14</v>
      </c>
      <c r="H24" s="24">
        <v>13</v>
      </c>
      <c r="I24" s="3">
        <v>21</v>
      </c>
      <c r="J24" s="24">
        <v>15</v>
      </c>
      <c r="K24" s="24">
        <v>15</v>
      </c>
      <c r="L24" s="24">
        <f t="shared" ref="L24:M24" si="0">SUM(L20:L23)</f>
        <v>30</v>
      </c>
      <c r="M24" s="24">
        <f t="shared" si="0"/>
        <v>30</v>
      </c>
      <c r="N24" s="24">
        <f t="shared" ref="N24" si="1">SUM(N20:N23)</f>
        <v>30</v>
      </c>
      <c r="O24" s="38"/>
    </row>
    <row r="25" spans="1:15" s="16" customFormat="1" ht="21.95" customHeight="1" x14ac:dyDescent="0.25">
      <c r="A25" s="65"/>
      <c r="B25" s="60"/>
      <c r="C25" s="2" t="s">
        <v>16</v>
      </c>
      <c r="D25" s="6" t="s">
        <v>10</v>
      </c>
      <c r="E25" s="6">
        <v>469</v>
      </c>
      <c r="F25" s="8">
        <v>353</v>
      </c>
      <c r="G25" s="3">
        <v>324</v>
      </c>
      <c r="H25" s="3">
        <v>488</v>
      </c>
      <c r="I25" s="3">
        <v>520</v>
      </c>
      <c r="J25" s="3">
        <v>469</v>
      </c>
      <c r="K25" s="3">
        <v>460</v>
      </c>
      <c r="L25" s="3">
        <v>470</v>
      </c>
      <c r="M25" s="3">
        <v>470</v>
      </c>
      <c r="N25" s="3">
        <v>470</v>
      </c>
    </row>
    <row r="26" spans="1:15" s="16" customFormat="1" ht="58.9" customHeight="1" x14ac:dyDescent="0.25">
      <c r="A26" s="75" t="s">
        <v>109</v>
      </c>
      <c r="B26" s="60"/>
      <c r="C26" s="19" t="s">
        <v>52</v>
      </c>
      <c r="D26" s="6"/>
      <c r="E26" s="6"/>
      <c r="F26" s="7"/>
      <c r="G26" s="3"/>
      <c r="H26" s="3"/>
      <c r="I26" s="3"/>
      <c r="J26" s="3"/>
      <c r="K26" s="3"/>
      <c r="L26" s="3"/>
      <c r="M26" s="3"/>
      <c r="N26" s="3"/>
    </row>
    <row r="27" spans="1:15" s="16" customFormat="1" ht="22.15" hidden="1" customHeight="1" x14ac:dyDescent="0.25">
      <c r="A27" s="76"/>
      <c r="B27" s="60"/>
      <c r="C27" s="2" t="s">
        <v>14</v>
      </c>
      <c r="D27" s="6" t="s">
        <v>10</v>
      </c>
      <c r="E27" s="6">
        <v>0</v>
      </c>
      <c r="F27" s="8">
        <v>0</v>
      </c>
      <c r="G27" s="3">
        <v>0</v>
      </c>
      <c r="H27" s="3">
        <v>0</v>
      </c>
      <c r="I27" s="3" t="s">
        <v>36</v>
      </c>
      <c r="J27" s="3" t="s">
        <v>36</v>
      </c>
      <c r="K27" s="3">
        <v>0</v>
      </c>
      <c r="L27" s="3">
        <v>0</v>
      </c>
      <c r="M27" s="3">
        <v>0</v>
      </c>
      <c r="N27" s="3">
        <v>0</v>
      </c>
    </row>
    <row r="28" spans="1:15" s="16" customFormat="1" ht="22.15" hidden="1" customHeight="1" x14ac:dyDescent="0.25">
      <c r="A28" s="76"/>
      <c r="B28" s="60"/>
      <c r="C28" s="2" t="s">
        <v>15</v>
      </c>
      <c r="D28" s="6" t="s">
        <v>10</v>
      </c>
      <c r="E28" s="6">
        <v>10018</v>
      </c>
      <c r="F28" s="8">
        <v>4708</v>
      </c>
      <c r="G28" s="3">
        <v>3022</v>
      </c>
      <c r="H28" s="3">
        <v>4058</v>
      </c>
      <c r="I28" s="3" t="s">
        <v>36</v>
      </c>
      <c r="J28" s="3" t="s">
        <v>36</v>
      </c>
      <c r="K28" s="3">
        <v>0</v>
      </c>
      <c r="L28" s="3">
        <v>0</v>
      </c>
      <c r="M28" s="3">
        <v>0</v>
      </c>
      <c r="N28" s="3">
        <v>0</v>
      </c>
    </row>
    <row r="29" spans="1:15" s="16" customFormat="1" ht="22.15" hidden="1" customHeight="1" x14ac:dyDescent="0.25">
      <c r="A29" s="76"/>
      <c r="B29" s="60"/>
      <c r="C29" s="2" t="s">
        <v>50</v>
      </c>
      <c r="D29" s="6" t="s">
        <v>10</v>
      </c>
      <c r="E29" s="15">
        <v>0</v>
      </c>
      <c r="F29" s="8">
        <v>0</v>
      </c>
      <c r="G29" s="3">
        <v>0</v>
      </c>
      <c r="H29" s="3">
        <v>0</v>
      </c>
      <c r="I29" s="3" t="s">
        <v>36</v>
      </c>
      <c r="J29" s="3" t="s">
        <v>36</v>
      </c>
      <c r="K29" s="3">
        <v>4000</v>
      </c>
      <c r="L29" s="3">
        <v>4000</v>
      </c>
      <c r="M29" s="3">
        <v>4000</v>
      </c>
      <c r="N29" s="3">
        <v>4000</v>
      </c>
    </row>
    <row r="30" spans="1:15" s="16" customFormat="1" ht="22.15" hidden="1" customHeight="1" x14ac:dyDescent="0.25">
      <c r="A30" s="76"/>
      <c r="B30" s="60"/>
      <c r="C30" s="2" t="s">
        <v>51</v>
      </c>
      <c r="D30" s="6" t="s">
        <v>10</v>
      </c>
      <c r="E30" s="6">
        <v>0</v>
      </c>
      <c r="F30" s="8">
        <v>0</v>
      </c>
      <c r="G30" s="3">
        <v>0</v>
      </c>
      <c r="H30" s="3">
        <v>0</v>
      </c>
      <c r="I30" s="3" t="s">
        <v>36</v>
      </c>
      <c r="J30" s="3" t="s">
        <v>36</v>
      </c>
      <c r="K30" s="18"/>
      <c r="L30" s="18">
        <v>1000</v>
      </c>
      <c r="M30" s="18">
        <v>2000</v>
      </c>
      <c r="N30" s="18">
        <v>2000</v>
      </c>
    </row>
    <row r="31" spans="1:15" s="16" customFormat="1" ht="21.95" customHeight="1" x14ac:dyDescent="0.25">
      <c r="A31" s="76"/>
      <c r="B31" s="60"/>
      <c r="C31" s="2" t="s">
        <v>76</v>
      </c>
      <c r="D31" s="6" t="s">
        <v>10</v>
      </c>
      <c r="E31" s="40">
        <f>SUM(E27:E30)</f>
        <v>10018</v>
      </c>
      <c r="F31" s="40">
        <f t="shared" ref="F31:M31" si="2">SUM(F27:F30)</f>
        <v>4708</v>
      </c>
      <c r="G31" s="41">
        <f t="shared" si="2"/>
        <v>3022</v>
      </c>
      <c r="H31" s="41">
        <f t="shared" si="2"/>
        <v>4058</v>
      </c>
      <c r="I31" s="42">
        <v>6560</v>
      </c>
      <c r="J31" s="41">
        <v>5457</v>
      </c>
      <c r="K31" s="41">
        <f t="shared" si="2"/>
        <v>4000</v>
      </c>
      <c r="L31" s="41">
        <f t="shared" si="2"/>
        <v>5000</v>
      </c>
      <c r="M31" s="41">
        <f t="shared" si="2"/>
        <v>6000</v>
      </c>
      <c r="N31" s="41">
        <f t="shared" ref="N31" si="3">SUM(N27:N30)</f>
        <v>6000</v>
      </c>
    </row>
    <row r="32" spans="1:15" s="16" customFormat="1" ht="21.95" customHeight="1" x14ac:dyDescent="0.25">
      <c r="A32" s="76"/>
      <c r="B32" s="60"/>
      <c r="C32" s="2" t="s">
        <v>16</v>
      </c>
      <c r="D32" s="6" t="s">
        <v>10</v>
      </c>
      <c r="E32" s="40">
        <v>90880</v>
      </c>
      <c r="F32" s="43">
        <v>59063</v>
      </c>
      <c r="G32" s="42">
        <v>59950</v>
      </c>
      <c r="H32" s="42">
        <v>97849</v>
      </c>
      <c r="I32" s="42">
        <v>122740</v>
      </c>
      <c r="J32" s="42">
        <v>116186</v>
      </c>
      <c r="K32" s="42">
        <v>96000</v>
      </c>
      <c r="L32" s="42">
        <v>95000</v>
      </c>
      <c r="M32" s="42">
        <v>94000</v>
      </c>
      <c r="N32" s="42">
        <v>94000</v>
      </c>
    </row>
    <row r="33" spans="1:15" s="16" customFormat="1" ht="21.95" customHeight="1" x14ac:dyDescent="0.25">
      <c r="A33" s="77"/>
      <c r="B33" s="60"/>
      <c r="C33" s="2" t="s">
        <v>87</v>
      </c>
      <c r="D33" s="6"/>
      <c r="E33" s="40">
        <f>E31+E32</f>
        <v>100898</v>
      </c>
      <c r="F33" s="40">
        <f t="shared" ref="F33:M33" si="4">F31+F32</f>
        <v>63771</v>
      </c>
      <c r="G33" s="40">
        <f t="shared" si="4"/>
        <v>62972</v>
      </c>
      <c r="H33" s="40">
        <f t="shared" si="4"/>
        <v>101907</v>
      </c>
      <c r="I33" s="40">
        <f t="shared" si="4"/>
        <v>129300</v>
      </c>
      <c r="J33" s="40">
        <f t="shared" si="4"/>
        <v>121643</v>
      </c>
      <c r="K33" s="40">
        <f t="shared" si="4"/>
        <v>100000</v>
      </c>
      <c r="L33" s="40">
        <f t="shared" si="4"/>
        <v>100000</v>
      </c>
      <c r="M33" s="40">
        <f t="shared" si="4"/>
        <v>100000</v>
      </c>
      <c r="N33" s="40">
        <f t="shared" ref="N33" si="5">N31+N32</f>
        <v>100000</v>
      </c>
    </row>
    <row r="34" spans="1:15" s="16" customFormat="1" ht="42.75" customHeight="1" x14ac:dyDescent="0.25">
      <c r="A34" s="14" t="s">
        <v>110</v>
      </c>
      <c r="B34" s="60"/>
      <c r="C34" s="1" t="s">
        <v>17</v>
      </c>
      <c r="D34" s="6" t="s">
        <v>78</v>
      </c>
      <c r="E34" s="3" t="s">
        <v>39</v>
      </c>
      <c r="F34" s="3" t="s">
        <v>39</v>
      </c>
      <c r="G34" s="3" t="s">
        <v>39</v>
      </c>
      <c r="H34" s="3" t="s">
        <v>39</v>
      </c>
      <c r="I34" s="3" t="s">
        <v>39</v>
      </c>
      <c r="J34" s="3" t="s">
        <v>39</v>
      </c>
      <c r="K34" s="21" t="s">
        <v>77</v>
      </c>
      <c r="L34" s="21" t="s">
        <v>77</v>
      </c>
      <c r="M34" s="21">
        <v>0.8</v>
      </c>
      <c r="N34" s="21" t="s">
        <v>77</v>
      </c>
    </row>
    <row r="35" spans="1:15" s="16" customFormat="1" ht="32.450000000000003" customHeight="1" x14ac:dyDescent="0.25">
      <c r="A35" s="14" t="s">
        <v>111</v>
      </c>
      <c r="B35" s="60"/>
      <c r="C35" s="1" t="s">
        <v>18</v>
      </c>
      <c r="D35" s="6" t="s">
        <v>12</v>
      </c>
      <c r="E35" s="3" t="s">
        <v>39</v>
      </c>
      <c r="F35" s="3" t="s">
        <v>39</v>
      </c>
      <c r="G35" s="3" t="s">
        <v>39</v>
      </c>
      <c r="H35" s="3" t="s">
        <v>39</v>
      </c>
      <c r="I35" s="3" t="s">
        <v>39</v>
      </c>
      <c r="J35" s="3">
        <v>2150</v>
      </c>
      <c r="K35" s="3">
        <v>2000</v>
      </c>
      <c r="L35" s="3">
        <v>2000</v>
      </c>
      <c r="M35" s="3">
        <v>2000</v>
      </c>
      <c r="N35" s="3">
        <v>2000</v>
      </c>
    </row>
    <row r="36" spans="1:15" s="16" customFormat="1" ht="24.95" customHeight="1" x14ac:dyDescent="0.25">
      <c r="A36" s="50" t="s">
        <v>101</v>
      </c>
      <c r="B36" s="64" t="s">
        <v>53</v>
      </c>
      <c r="C36" s="64"/>
      <c r="D36" s="64"/>
      <c r="E36" s="64"/>
      <c r="F36" s="64"/>
      <c r="G36" s="64"/>
      <c r="H36" s="64"/>
      <c r="I36" s="64"/>
      <c r="J36" s="64"/>
      <c r="K36" s="64"/>
      <c r="L36" s="64"/>
      <c r="M36" s="64"/>
      <c r="N36" s="64"/>
    </row>
    <row r="37" spans="1:15" s="16" customFormat="1" ht="21.95" customHeight="1" x14ac:dyDescent="0.25">
      <c r="A37" s="14" t="s">
        <v>112</v>
      </c>
      <c r="B37" s="13"/>
      <c r="C37" s="1" t="s">
        <v>88</v>
      </c>
      <c r="D37" s="39" t="s">
        <v>93</v>
      </c>
      <c r="E37" s="2" t="s">
        <v>39</v>
      </c>
      <c r="F37" s="2" t="s">
        <v>39</v>
      </c>
      <c r="G37" s="2" t="s">
        <v>39</v>
      </c>
      <c r="H37" s="2" t="s">
        <v>39</v>
      </c>
      <c r="I37" s="2" t="s">
        <v>39</v>
      </c>
      <c r="J37" s="46" t="s">
        <v>48</v>
      </c>
      <c r="K37" s="46" t="s">
        <v>44</v>
      </c>
      <c r="L37" s="46" t="s">
        <v>44</v>
      </c>
      <c r="M37" s="46" t="s">
        <v>44</v>
      </c>
      <c r="N37" s="46" t="s">
        <v>44</v>
      </c>
      <c r="O37" s="38"/>
    </row>
    <row r="38" spans="1:15" s="16" customFormat="1" ht="24.95" customHeight="1" x14ac:dyDescent="0.25">
      <c r="A38" s="50" t="s">
        <v>103</v>
      </c>
      <c r="B38" s="64" t="s">
        <v>19</v>
      </c>
      <c r="C38" s="64"/>
      <c r="D38" s="64"/>
      <c r="E38" s="64"/>
      <c r="F38" s="64"/>
      <c r="G38" s="64"/>
      <c r="H38" s="64"/>
      <c r="I38" s="64"/>
      <c r="J38" s="64"/>
      <c r="K38" s="64"/>
      <c r="L38" s="64"/>
      <c r="M38" s="64"/>
      <c r="N38" s="64"/>
    </row>
    <row r="39" spans="1:15" s="16" customFormat="1" ht="32.450000000000003" customHeight="1" x14ac:dyDescent="0.25">
      <c r="A39" s="14" t="s">
        <v>113</v>
      </c>
      <c r="B39" s="59"/>
      <c r="C39" s="39" t="s">
        <v>20</v>
      </c>
      <c r="D39" s="8" t="s">
        <v>21</v>
      </c>
      <c r="E39" s="6" t="s">
        <v>39</v>
      </c>
      <c r="F39" s="2" t="s">
        <v>39</v>
      </c>
      <c r="G39" s="2" t="s">
        <v>39</v>
      </c>
      <c r="H39" s="2" t="s">
        <v>39</v>
      </c>
      <c r="I39" s="3" t="s">
        <v>39</v>
      </c>
      <c r="J39" s="28">
        <v>720000</v>
      </c>
      <c r="K39" s="23" t="s">
        <v>60</v>
      </c>
      <c r="L39" s="23" t="s">
        <v>60</v>
      </c>
      <c r="M39" s="23" t="s">
        <v>60</v>
      </c>
      <c r="N39" s="23" t="s">
        <v>60</v>
      </c>
    </row>
    <row r="40" spans="1:15" s="16" customFormat="1" ht="32.450000000000003" customHeight="1" x14ac:dyDescent="0.25">
      <c r="A40" s="14" t="s">
        <v>114</v>
      </c>
      <c r="B40" s="59"/>
      <c r="C40" s="39" t="s">
        <v>22</v>
      </c>
      <c r="D40" s="8" t="s">
        <v>23</v>
      </c>
      <c r="E40" s="6">
        <v>1368</v>
      </c>
      <c r="F40" s="2">
        <v>1375</v>
      </c>
      <c r="G40" s="2">
        <v>948</v>
      </c>
      <c r="H40" s="2">
        <v>1497</v>
      </c>
      <c r="I40" s="3">
        <v>1473</v>
      </c>
      <c r="J40" s="29">
        <v>1500</v>
      </c>
      <c r="K40" s="23" t="s">
        <v>60</v>
      </c>
      <c r="L40" s="23" t="s">
        <v>60</v>
      </c>
      <c r="M40" s="23" t="s">
        <v>60</v>
      </c>
      <c r="N40" s="23" t="s">
        <v>60</v>
      </c>
    </row>
    <row r="41" spans="1:15" s="16" customFormat="1" ht="32.450000000000003" customHeight="1" x14ac:dyDescent="0.25">
      <c r="A41" s="14" t="s">
        <v>115</v>
      </c>
      <c r="B41" s="59"/>
      <c r="C41" s="39" t="s">
        <v>24</v>
      </c>
      <c r="D41" s="8" t="s">
        <v>95</v>
      </c>
      <c r="E41" s="6" t="s">
        <v>54</v>
      </c>
      <c r="F41" s="2" t="s">
        <v>54</v>
      </c>
      <c r="G41" s="2" t="s">
        <v>54</v>
      </c>
      <c r="H41" s="2" t="s">
        <v>54</v>
      </c>
      <c r="I41" s="2" t="s">
        <v>54</v>
      </c>
      <c r="J41" s="3" t="s">
        <v>54</v>
      </c>
      <c r="K41" s="22" t="s">
        <v>54</v>
      </c>
      <c r="L41" s="22" t="s">
        <v>54</v>
      </c>
      <c r="M41" s="22" t="s">
        <v>54</v>
      </c>
      <c r="N41" s="22" t="s">
        <v>54</v>
      </c>
    </row>
    <row r="42" spans="1:15" s="16" customFormat="1" ht="32.450000000000003" customHeight="1" x14ac:dyDescent="0.25">
      <c r="A42" s="14" t="s">
        <v>116</v>
      </c>
      <c r="B42" s="59"/>
      <c r="C42" s="39" t="s">
        <v>67</v>
      </c>
      <c r="D42" s="8" t="s">
        <v>96</v>
      </c>
      <c r="E42" s="6" t="s">
        <v>39</v>
      </c>
      <c r="F42" s="2" t="s">
        <v>39</v>
      </c>
      <c r="G42" s="2" t="s">
        <v>39</v>
      </c>
      <c r="H42" s="2" t="s">
        <v>39</v>
      </c>
      <c r="I42" s="2" t="s">
        <v>39</v>
      </c>
      <c r="J42" s="2" t="s">
        <v>39</v>
      </c>
      <c r="K42" s="2" t="s">
        <v>54</v>
      </c>
      <c r="L42" s="2" t="s">
        <v>54</v>
      </c>
      <c r="M42" s="2" t="s">
        <v>54</v>
      </c>
      <c r="N42" s="2" t="s">
        <v>54</v>
      </c>
    </row>
    <row r="43" spans="1:15" s="16" customFormat="1" ht="32.450000000000003" customHeight="1" x14ac:dyDescent="0.25">
      <c r="A43" s="14" t="s">
        <v>117</v>
      </c>
      <c r="B43" s="59"/>
      <c r="C43" s="39" t="s">
        <v>25</v>
      </c>
      <c r="D43" s="6" t="s">
        <v>26</v>
      </c>
      <c r="E43" s="6" t="s">
        <v>39</v>
      </c>
      <c r="F43" s="6" t="s">
        <v>39</v>
      </c>
      <c r="G43" s="6" t="s">
        <v>39</v>
      </c>
      <c r="H43" s="6" t="s">
        <v>39</v>
      </c>
      <c r="I43" s="6" t="s">
        <v>39</v>
      </c>
      <c r="J43" s="3">
        <v>71000</v>
      </c>
      <c r="K43" s="23" t="s">
        <v>60</v>
      </c>
      <c r="L43" s="23" t="s">
        <v>60</v>
      </c>
      <c r="M43" s="23" t="s">
        <v>60</v>
      </c>
      <c r="N43" s="23" t="s">
        <v>60</v>
      </c>
    </row>
    <row r="44" spans="1:15" s="16" customFormat="1" ht="61.9" customHeight="1" x14ac:dyDescent="0.25">
      <c r="A44" s="14" t="s">
        <v>118</v>
      </c>
      <c r="B44" s="59"/>
      <c r="C44" s="39" t="s">
        <v>79</v>
      </c>
      <c r="D44" s="6" t="s">
        <v>94</v>
      </c>
      <c r="E44" s="6" t="s">
        <v>39</v>
      </c>
      <c r="F44" s="6" t="s">
        <v>39</v>
      </c>
      <c r="G44" s="6" t="s">
        <v>39</v>
      </c>
      <c r="H44" s="6" t="s">
        <v>39</v>
      </c>
      <c r="I44" s="6" t="s">
        <v>39</v>
      </c>
      <c r="J44" s="6" t="s">
        <v>54</v>
      </c>
      <c r="K44" s="3" t="s">
        <v>54</v>
      </c>
      <c r="L44" s="3" t="s">
        <v>54</v>
      </c>
      <c r="M44" s="3" t="s">
        <v>54</v>
      </c>
      <c r="N44" s="3" t="s">
        <v>54</v>
      </c>
    </row>
    <row r="45" spans="1:15" s="16" customFormat="1" ht="24.95" customHeight="1" x14ac:dyDescent="0.25">
      <c r="A45" s="20" t="s">
        <v>104</v>
      </c>
      <c r="B45" s="64" t="s">
        <v>27</v>
      </c>
      <c r="C45" s="64"/>
      <c r="D45" s="64"/>
      <c r="E45" s="64"/>
      <c r="F45" s="64"/>
      <c r="G45" s="64"/>
      <c r="H45" s="64"/>
      <c r="I45" s="64"/>
      <c r="J45" s="64"/>
      <c r="K45" s="64"/>
      <c r="L45" s="64"/>
      <c r="M45" s="64"/>
      <c r="N45" s="64"/>
    </row>
    <row r="46" spans="1:15" s="16" customFormat="1" ht="261" customHeight="1" x14ac:dyDescent="0.25">
      <c r="A46" s="14"/>
      <c r="B46" s="1"/>
      <c r="C46" s="17" t="s">
        <v>28</v>
      </c>
      <c r="D46" s="6" t="s">
        <v>55</v>
      </c>
      <c r="E46" s="6" t="s">
        <v>39</v>
      </c>
      <c r="F46" s="6" t="s">
        <v>39</v>
      </c>
      <c r="G46" s="6" t="s">
        <v>39</v>
      </c>
      <c r="H46" s="6" t="s">
        <v>39</v>
      </c>
      <c r="I46" s="6" t="s">
        <v>39</v>
      </c>
      <c r="J46" s="6" t="s">
        <v>39</v>
      </c>
      <c r="K46" s="6" t="s">
        <v>56</v>
      </c>
      <c r="L46" s="6" t="s">
        <v>57</v>
      </c>
      <c r="M46" s="6" t="s">
        <v>57</v>
      </c>
      <c r="N46" s="6" t="s">
        <v>57</v>
      </c>
    </row>
    <row r="47" spans="1:15" s="16" customFormat="1" ht="24.95" customHeight="1" x14ac:dyDescent="0.25">
      <c r="A47" s="56" t="s">
        <v>90</v>
      </c>
      <c r="B47" s="56"/>
      <c r="C47" s="56"/>
      <c r="D47" s="56"/>
      <c r="E47" s="56"/>
      <c r="F47" s="56"/>
      <c r="G47" s="56"/>
      <c r="H47" s="56"/>
      <c r="I47" s="56"/>
      <c r="J47" s="56"/>
      <c r="K47" s="56"/>
      <c r="L47" s="56"/>
      <c r="M47" s="56"/>
      <c r="N47" s="56"/>
    </row>
    <row r="48" spans="1:15" s="16" customFormat="1" ht="60" customHeight="1" x14ac:dyDescent="0.25">
      <c r="A48" s="65"/>
      <c r="B48" s="62" t="s">
        <v>29</v>
      </c>
      <c r="C48" s="17" t="s">
        <v>68</v>
      </c>
      <c r="D48" s="39" t="s">
        <v>74</v>
      </c>
      <c r="E48" s="48">
        <f>SUM(1760355/(4602084-426700))</f>
        <v>0.42160313877717592</v>
      </c>
      <c r="F48" s="4">
        <f>SUM(1147554/(4348810-202000))</f>
        <v>0.27673175284134072</v>
      </c>
      <c r="G48" s="48">
        <f>1313592/4482456</f>
        <v>0.29305184479222995</v>
      </c>
      <c r="H48" s="48">
        <f>2277120/4862471</f>
        <v>0.46830510660114993</v>
      </c>
      <c r="I48" s="36">
        <f>3477224/6544732</f>
        <v>0.53130120530527458</v>
      </c>
      <c r="J48" s="36">
        <v>0.53</v>
      </c>
      <c r="K48" s="36">
        <v>0.35</v>
      </c>
      <c r="L48" s="36">
        <v>0.35</v>
      </c>
      <c r="M48" s="36">
        <v>0.35</v>
      </c>
      <c r="N48" s="36">
        <v>0.35</v>
      </c>
      <c r="O48" s="38"/>
    </row>
    <row r="49" spans="1:16" s="31" customFormat="1" ht="60" customHeight="1" x14ac:dyDescent="0.25">
      <c r="A49" s="65"/>
      <c r="B49" s="62"/>
      <c r="C49" s="19" t="s">
        <v>69</v>
      </c>
      <c r="D49" s="24" t="s">
        <v>74</v>
      </c>
      <c r="E49" s="30">
        <f>2816835/1760355</f>
        <v>1.6001516739521289</v>
      </c>
      <c r="F49" s="32">
        <f>3201256/1147554</f>
        <v>2.789634300433792</v>
      </c>
      <c r="G49" s="30">
        <f>3163203/1313592</f>
        <v>2.4080559260409626</v>
      </c>
      <c r="H49" s="30">
        <f>2583246/2277120</f>
        <v>1.134435602866779</v>
      </c>
      <c r="I49" s="26">
        <f>3067508/3456382</f>
        <v>0.88749102385095169</v>
      </c>
      <c r="J49" s="26">
        <v>0.88</v>
      </c>
      <c r="K49" s="26">
        <v>1.5</v>
      </c>
      <c r="L49" s="26">
        <v>1.5</v>
      </c>
      <c r="M49" s="26">
        <v>1.5</v>
      </c>
      <c r="N49" s="26">
        <v>1.5</v>
      </c>
    </row>
    <row r="50" spans="1:16" s="31" customFormat="1" ht="60" customHeight="1" x14ac:dyDescent="0.25">
      <c r="A50" s="65"/>
      <c r="B50" s="62"/>
      <c r="C50" s="19" t="s">
        <v>70</v>
      </c>
      <c r="D50" s="24" t="s">
        <v>74</v>
      </c>
      <c r="E50" s="30">
        <v>0</v>
      </c>
      <c r="F50" s="30">
        <v>0</v>
      </c>
      <c r="G50" s="30">
        <v>0</v>
      </c>
      <c r="H50" s="30">
        <v>0</v>
      </c>
      <c r="I50" s="26">
        <v>0</v>
      </c>
      <c r="J50" s="26">
        <v>0</v>
      </c>
      <c r="K50" s="26">
        <v>0</v>
      </c>
      <c r="L50" s="26">
        <v>0</v>
      </c>
      <c r="M50" s="26">
        <v>0</v>
      </c>
      <c r="N50" s="26">
        <v>0</v>
      </c>
    </row>
    <row r="51" spans="1:16" s="16" customFormat="1" ht="60" customHeight="1" x14ac:dyDescent="0.25">
      <c r="A51" s="65"/>
      <c r="B51" s="62"/>
      <c r="C51" s="1" t="s">
        <v>84</v>
      </c>
      <c r="D51" s="39" t="s">
        <v>12</v>
      </c>
      <c r="E51" s="27" t="s">
        <v>39</v>
      </c>
      <c r="F51" s="27" t="s">
        <v>39</v>
      </c>
      <c r="G51" s="27" t="s">
        <v>39</v>
      </c>
      <c r="H51" s="27" t="s">
        <v>39</v>
      </c>
      <c r="I51" s="27" t="s">
        <v>39</v>
      </c>
      <c r="J51" s="45">
        <v>1.7600000000000001E-2</v>
      </c>
      <c r="K51" s="30">
        <v>0.02</v>
      </c>
      <c r="L51" s="30">
        <v>0.02</v>
      </c>
      <c r="M51" s="30">
        <v>0.02</v>
      </c>
      <c r="N51" s="30">
        <v>0.02</v>
      </c>
      <c r="O51" s="38"/>
    </row>
    <row r="52" spans="1:16" s="16" customFormat="1" ht="60" customHeight="1" x14ac:dyDescent="0.25">
      <c r="A52" s="65"/>
      <c r="B52" s="62"/>
      <c r="C52" s="17" t="s">
        <v>71</v>
      </c>
      <c r="D52" s="39" t="s">
        <v>74</v>
      </c>
      <c r="E52" s="39">
        <v>1.23</v>
      </c>
      <c r="F52" s="3">
        <v>1.65</v>
      </c>
      <c r="G52" s="39">
        <v>1.85</v>
      </c>
      <c r="H52" s="39">
        <v>1.64</v>
      </c>
      <c r="I52" s="39">
        <v>1.58</v>
      </c>
      <c r="J52" s="39">
        <v>1.38</v>
      </c>
      <c r="K52" s="39" t="s">
        <v>59</v>
      </c>
      <c r="L52" s="39" t="s">
        <v>59</v>
      </c>
      <c r="M52" s="39" t="s">
        <v>59</v>
      </c>
      <c r="N52" s="39" t="s">
        <v>59</v>
      </c>
    </row>
    <row r="53" spans="1:16" s="16" customFormat="1" ht="60" customHeight="1" x14ac:dyDescent="0.25">
      <c r="A53" s="65"/>
      <c r="B53" s="62" t="s">
        <v>58</v>
      </c>
      <c r="C53" s="17" t="s">
        <v>72</v>
      </c>
      <c r="D53" s="39" t="s">
        <v>74</v>
      </c>
      <c r="E53" s="39">
        <f>ROUND((1273161/E33),2)</f>
        <v>12.62</v>
      </c>
      <c r="F53" s="3">
        <f>ROUND((1275548/F33),2)</f>
        <v>20</v>
      </c>
      <c r="G53" s="39">
        <f>ROUND((1161093/G33),2)</f>
        <v>18.440000000000001</v>
      </c>
      <c r="H53" s="39">
        <f>ROUND((1662825/H33),2)</f>
        <v>16.32</v>
      </c>
      <c r="I53" s="39">
        <f>ROUND((2413424/I33),2)</f>
        <v>18.670000000000002</v>
      </c>
      <c r="J53" s="44">
        <f>2764986/H33</f>
        <v>27.132444287438545</v>
      </c>
      <c r="K53" s="37" t="s">
        <v>60</v>
      </c>
      <c r="L53" s="37" t="s">
        <v>60</v>
      </c>
      <c r="M53" s="37" t="s">
        <v>60</v>
      </c>
      <c r="N53" s="37" t="s">
        <v>60</v>
      </c>
      <c r="P53" s="38"/>
    </row>
    <row r="54" spans="1:16" s="16" customFormat="1" ht="60" customHeight="1" x14ac:dyDescent="0.25">
      <c r="A54" s="65"/>
      <c r="B54" s="62"/>
      <c r="C54" s="17" t="s">
        <v>73</v>
      </c>
      <c r="D54" s="39" t="s">
        <v>74</v>
      </c>
      <c r="E54" s="39">
        <f>ROUND((2816835/E33),2)</f>
        <v>27.92</v>
      </c>
      <c r="F54" s="3">
        <f>ROUND((3201256/F33),2)</f>
        <v>50.2</v>
      </c>
      <c r="G54" s="44">
        <f>ROUND((3163203/F33),2)</f>
        <v>49.6</v>
      </c>
      <c r="H54" s="3">
        <f>ROUND((2583246/F33),2)</f>
        <v>40.51</v>
      </c>
      <c r="I54" s="39">
        <f>ROUND((3067508/F33),2)</f>
        <v>48.1</v>
      </c>
      <c r="J54" s="44">
        <f>3134116/J33</f>
        <v>25.764869330746528</v>
      </c>
      <c r="K54" s="37" t="s">
        <v>60</v>
      </c>
      <c r="L54" s="37" t="s">
        <v>60</v>
      </c>
      <c r="M54" s="37" t="s">
        <v>60</v>
      </c>
      <c r="N54" s="37" t="s">
        <v>60</v>
      </c>
      <c r="P54" s="38"/>
    </row>
    <row r="55" spans="1:16" s="16" customFormat="1" ht="60" customHeight="1" x14ac:dyDescent="0.25">
      <c r="A55" s="65"/>
      <c r="B55" s="62"/>
      <c r="C55" s="17" t="s">
        <v>61</v>
      </c>
      <c r="D55" s="39" t="s">
        <v>74</v>
      </c>
      <c r="E55" s="39">
        <f>ROUND((1760355/133.5),2)</f>
        <v>13186.18</v>
      </c>
      <c r="F55" s="3">
        <f>ROUND((1147554/131.45),2)</f>
        <v>8729.9699999999993</v>
      </c>
      <c r="G55" s="39">
        <f>ROUND((1313592/134.1),2)</f>
        <v>9795.6200000000008</v>
      </c>
      <c r="H55" s="39">
        <f>ROUND((2275300/122),2)</f>
        <v>18650</v>
      </c>
      <c r="I55" s="39">
        <f>ROUND((3456382/123),2)</f>
        <v>28100.67</v>
      </c>
      <c r="J55" s="44">
        <f>3690143/133</f>
        <v>27745.436090225565</v>
      </c>
      <c r="K55" s="37" t="s">
        <v>60</v>
      </c>
      <c r="L55" s="37" t="s">
        <v>60</v>
      </c>
      <c r="M55" s="37" t="s">
        <v>60</v>
      </c>
      <c r="N55" s="37" t="s">
        <v>60</v>
      </c>
      <c r="P55" s="38"/>
    </row>
    <row r="56" spans="1:16" s="16" customFormat="1" ht="60" customHeight="1" x14ac:dyDescent="0.25">
      <c r="A56" s="65"/>
      <c r="B56" s="62"/>
      <c r="C56" s="49" t="s">
        <v>75</v>
      </c>
      <c r="D56" s="39" t="s">
        <v>74</v>
      </c>
      <c r="E56" s="3">
        <f>-5076+507611</f>
        <v>502535</v>
      </c>
      <c r="F56" s="3">
        <f>-156467+472523</f>
        <v>316056</v>
      </c>
      <c r="G56" s="3">
        <f>59280+470566</f>
        <v>529846</v>
      </c>
      <c r="H56" s="3">
        <f>-259968+468736</f>
        <v>208768</v>
      </c>
      <c r="I56" s="3">
        <f>-35062+472327</f>
        <v>437265</v>
      </c>
      <c r="J56" s="39">
        <f>-358378+395612</f>
        <v>37234</v>
      </c>
      <c r="K56" s="37" t="s">
        <v>60</v>
      </c>
      <c r="L56" s="37" t="s">
        <v>60</v>
      </c>
      <c r="M56" s="37" t="s">
        <v>60</v>
      </c>
      <c r="N56" s="37" t="s">
        <v>60</v>
      </c>
    </row>
    <row r="57" spans="1:16" s="16" customFormat="1" ht="24.95" customHeight="1" x14ac:dyDescent="0.25">
      <c r="A57" s="63" t="s">
        <v>89</v>
      </c>
      <c r="B57" s="63"/>
      <c r="C57" s="63"/>
      <c r="D57" s="63"/>
      <c r="E57" s="63"/>
      <c r="F57" s="63"/>
      <c r="G57" s="63"/>
      <c r="H57" s="63"/>
      <c r="I57" s="63"/>
      <c r="J57" s="63"/>
      <c r="K57" s="63"/>
      <c r="L57" s="63"/>
      <c r="M57" s="63"/>
      <c r="N57" s="10"/>
    </row>
    <row r="58" spans="1:16" s="16" customFormat="1" ht="76.150000000000006" customHeight="1" x14ac:dyDescent="0.25">
      <c r="A58" s="54" t="s">
        <v>100</v>
      </c>
      <c r="B58" s="1" t="s">
        <v>80</v>
      </c>
      <c r="C58" s="39" t="s">
        <v>86</v>
      </c>
      <c r="D58" s="3" t="s">
        <v>30</v>
      </c>
      <c r="E58" s="3" t="s">
        <v>62</v>
      </c>
      <c r="F58" s="3" t="s">
        <v>62</v>
      </c>
      <c r="G58" s="3" t="s">
        <v>62</v>
      </c>
      <c r="H58" s="3" t="s">
        <v>62</v>
      </c>
      <c r="I58" s="3" t="s">
        <v>62</v>
      </c>
      <c r="J58" s="3" t="s">
        <v>62</v>
      </c>
      <c r="K58" s="3" t="s">
        <v>54</v>
      </c>
      <c r="L58" s="3" t="s">
        <v>54</v>
      </c>
      <c r="M58" s="3" t="s">
        <v>54</v>
      </c>
      <c r="N58" s="3" t="s">
        <v>54</v>
      </c>
    </row>
    <row r="59" spans="1:16" s="16" customFormat="1" ht="54" customHeight="1" x14ac:dyDescent="0.25">
      <c r="A59" s="53" t="s">
        <v>97</v>
      </c>
      <c r="B59" s="59"/>
      <c r="C59" s="39" t="s">
        <v>31</v>
      </c>
      <c r="D59" s="8" t="s">
        <v>30</v>
      </c>
      <c r="E59" s="52" t="s">
        <v>62</v>
      </c>
      <c r="F59" s="52" t="s">
        <v>62</v>
      </c>
      <c r="G59" s="52" t="s">
        <v>62</v>
      </c>
      <c r="H59" s="52" t="s">
        <v>62</v>
      </c>
      <c r="I59" s="52" t="s">
        <v>54</v>
      </c>
      <c r="J59" s="52" t="s">
        <v>54</v>
      </c>
      <c r="K59" s="3" t="s">
        <v>54</v>
      </c>
      <c r="L59" s="3" t="s">
        <v>54</v>
      </c>
      <c r="M59" s="3" t="s">
        <v>54</v>
      </c>
      <c r="N59" s="3" t="s">
        <v>54</v>
      </c>
    </row>
    <row r="60" spans="1:16" s="16" customFormat="1" ht="68.25" customHeight="1" x14ac:dyDescent="0.25">
      <c r="A60" s="53" t="s">
        <v>98</v>
      </c>
      <c r="B60" s="59"/>
      <c r="C60" s="8" t="s">
        <v>32</v>
      </c>
      <c r="D60" s="8" t="s">
        <v>33</v>
      </c>
      <c r="E60" s="8" t="s">
        <v>62</v>
      </c>
      <c r="F60" s="8" t="s">
        <v>62</v>
      </c>
      <c r="G60" s="8" t="s">
        <v>62</v>
      </c>
      <c r="H60" s="8" t="s">
        <v>62</v>
      </c>
      <c r="I60" s="8" t="s">
        <v>62</v>
      </c>
      <c r="J60" s="8" t="s">
        <v>62</v>
      </c>
      <c r="K60" s="3" t="s">
        <v>54</v>
      </c>
      <c r="L60" s="3" t="s">
        <v>54</v>
      </c>
      <c r="M60" s="3" t="s">
        <v>54</v>
      </c>
      <c r="N60" s="3" t="s">
        <v>54</v>
      </c>
    </row>
    <row r="61" spans="1:16" s="16" customFormat="1" ht="120" x14ac:dyDescent="0.25">
      <c r="A61" s="54" t="s">
        <v>102</v>
      </c>
      <c r="B61" s="1" t="s">
        <v>63</v>
      </c>
      <c r="C61" s="39" t="s">
        <v>34</v>
      </c>
      <c r="D61" s="3" t="s">
        <v>64</v>
      </c>
      <c r="E61" s="39" t="s">
        <v>39</v>
      </c>
      <c r="F61" s="39" t="s">
        <v>39</v>
      </c>
      <c r="G61" s="39" t="s">
        <v>39</v>
      </c>
      <c r="H61" s="39" t="s">
        <v>39</v>
      </c>
      <c r="I61" s="11">
        <v>0.8</v>
      </c>
      <c r="J61" s="11">
        <v>0.95</v>
      </c>
      <c r="K61" s="11">
        <v>0.95</v>
      </c>
      <c r="L61" s="11">
        <v>0.95</v>
      </c>
      <c r="M61" s="11">
        <v>0.95</v>
      </c>
      <c r="N61" s="11">
        <v>0.95</v>
      </c>
    </row>
    <row r="62" spans="1:16" s="16" customFormat="1" ht="75" x14ac:dyDescent="0.25">
      <c r="A62" s="54" t="s">
        <v>99</v>
      </c>
      <c r="B62" s="1" t="s">
        <v>65</v>
      </c>
      <c r="C62" s="39" t="s">
        <v>66</v>
      </c>
      <c r="D62" s="39" t="s">
        <v>30</v>
      </c>
      <c r="E62" s="39" t="s">
        <v>62</v>
      </c>
      <c r="F62" s="3" t="s">
        <v>62</v>
      </c>
      <c r="G62" s="3" t="s">
        <v>62</v>
      </c>
      <c r="H62" s="3" t="s">
        <v>62</v>
      </c>
      <c r="I62" s="3" t="s">
        <v>62</v>
      </c>
      <c r="J62" s="3" t="s">
        <v>62</v>
      </c>
      <c r="K62" s="3" t="s">
        <v>54</v>
      </c>
      <c r="L62" s="3" t="s">
        <v>54</v>
      </c>
      <c r="M62" s="3" t="s">
        <v>54</v>
      </c>
      <c r="N62" s="3" t="s">
        <v>54</v>
      </c>
    </row>
  </sheetData>
  <mergeCells count="35">
    <mergeCell ref="A2:N2"/>
    <mergeCell ref="A10:N10"/>
    <mergeCell ref="B11:N11"/>
    <mergeCell ref="B14:N14"/>
    <mergeCell ref="A19:A25"/>
    <mergeCell ref="J3:J5"/>
    <mergeCell ref="K3:K5"/>
    <mergeCell ref="M3:M5"/>
    <mergeCell ref="L3:L5"/>
    <mergeCell ref="H3:H5"/>
    <mergeCell ref="A3:A5"/>
    <mergeCell ref="C3:C5"/>
    <mergeCell ref="B59:B60"/>
    <mergeCell ref="B15:B17"/>
    <mergeCell ref="B12:B13"/>
    <mergeCell ref="B19:B35"/>
    <mergeCell ref="B39:B44"/>
    <mergeCell ref="B53:B56"/>
    <mergeCell ref="A57:M57"/>
    <mergeCell ref="B18:N18"/>
    <mergeCell ref="B36:N36"/>
    <mergeCell ref="B38:N38"/>
    <mergeCell ref="B45:N45"/>
    <mergeCell ref="A48:A52"/>
    <mergeCell ref="B48:B52"/>
    <mergeCell ref="A53:A56"/>
    <mergeCell ref="I3:I5"/>
    <mergeCell ref="A47:N47"/>
    <mergeCell ref="D3:D5"/>
    <mergeCell ref="F3:F5"/>
    <mergeCell ref="G3:G5"/>
    <mergeCell ref="B3:B9"/>
    <mergeCell ref="E3:E5"/>
    <mergeCell ref="N3:N5"/>
    <mergeCell ref="A26:A33"/>
  </mergeCells>
  <phoneticPr fontId="6" type="noConversion"/>
  <pageMargins left="0.7" right="0.7" top="0.75" bottom="0.75" header="0.3" footer="0.3"/>
  <pageSetup paperSize="8" scale="77"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4c65fb32-5c51-4412-9ae5-03ee449ba0c7">
      <Terms xmlns="http://schemas.microsoft.com/office/infopath/2007/PartnerControls"/>
    </lcf76f155ced4ddcb4097134ff3c332f>
    <TaxCatchAll xmlns="ee69911b-bc44-4822-bdab-cca3d7dac7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9E336399F1DEF48AB901E64AE16DB78" ma:contentTypeVersion="20" ma:contentTypeDescription="Create a new document." ma:contentTypeScope="" ma:versionID="0e1eb64249df1b61c107c350ff1ac241">
  <xsd:schema xmlns:xsd="http://www.w3.org/2001/XMLSchema" xmlns:xs="http://www.w3.org/2001/XMLSchema" xmlns:p="http://schemas.microsoft.com/office/2006/metadata/properties" xmlns:ns1="http://schemas.microsoft.com/sharepoint/v3" xmlns:ns2="4c65fb32-5c51-4412-9ae5-03ee449ba0c7" xmlns:ns3="ee69911b-bc44-4822-bdab-cca3d7dac7d5" targetNamespace="http://schemas.microsoft.com/office/2006/metadata/properties" ma:root="true" ma:fieldsID="3919e644798120c15a823db63ab67bdb" ns1:_="" ns2:_="" ns3:_="">
    <xsd:import namespace="http://schemas.microsoft.com/sharepoint/v3"/>
    <xsd:import namespace="4c65fb32-5c51-4412-9ae5-03ee449ba0c7"/>
    <xsd:import namespace="ee69911b-bc44-4822-bdab-cca3d7dac7d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65fb32-5c51-4412-9ae5-03ee449ba0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8776a30-dc0b-49a2-aa1e-c2fe56b337b5"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69911b-bc44-4822-bdab-cca3d7dac7d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2956819d-2ce4-491e-b77b-2f0ff44a8ae2}" ma:internalName="TaxCatchAll" ma:showField="CatchAllData" ma:web="ee69911b-bc44-4822-bdab-cca3d7dac7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4A0F0E-A435-4A76-BB8E-057569FDC109}">
  <ds:schemaRefs>
    <ds:schemaRef ds:uri="http://schemas.microsoft.com/office/2006/metadata/properties"/>
    <ds:schemaRef ds:uri="http://schemas.microsoft.com/office/infopath/2007/PartnerControls"/>
    <ds:schemaRef ds:uri="http://schemas.microsoft.com/sharepoint/v3"/>
    <ds:schemaRef ds:uri="4c65fb32-5c51-4412-9ae5-03ee449ba0c7"/>
    <ds:schemaRef ds:uri="ee69911b-bc44-4822-bdab-cca3d7dac7d5"/>
  </ds:schemaRefs>
</ds:datastoreItem>
</file>

<file path=customXml/itemProps2.xml><?xml version="1.0" encoding="utf-8"?>
<ds:datastoreItem xmlns:ds="http://schemas.openxmlformats.org/officeDocument/2006/customXml" ds:itemID="{763EB49F-34CD-48F5-BA1F-666001FD058A}">
  <ds:schemaRefs>
    <ds:schemaRef ds:uri="http://schemas.microsoft.com/sharepoint/v3/contenttype/forms"/>
  </ds:schemaRefs>
</ds:datastoreItem>
</file>

<file path=customXml/itemProps3.xml><?xml version="1.0" encoding="utf-8"?>
<ds:datastoreItem xmlns:ds="http://schemas.openxmlformats.org/officeDocument/2006/customXml" ds:itemID="{F8F64850-8934-4EA0-9E4F-F9DC212737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c65fb32-5c51-4412-9ae5-03ee449ba0c7"/>
    <ds:schemaRef ds:uri="ee69911b-bc44-4822-bdab-cca3d7dac7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Eesti Draamateater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 Kaunissaare</dc:creator>
  <cp:keywords/>
  <dc:description/>
  <cp:lastModifiedBy>Marie Anett Heinsalu</cp:lastModifiedBy>
  <cp:revision/>
  <cp:lastPrinted>2025-02-14T10:14:45Z</cp:lastPrinted>
  <dcterms:created xsi:type="dcterms:W3CDTF">2024-02-16T14:09:15Z</dcterms:created>
  <dcterms:modified xsi:type="dcterms:W3CDTF">2025-08-14T09:48:47Z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0x01010089E336399F1DEF48AB901E64AE16DB78</vt:lpwstr>
  </property>
  <property fmtid="{D5CDD505-2E9C-101B-9397-08002B2CF9AE}" pid="3" name="MediaServiceImageTags">
    <vt:lpwstr/>
  </property>
</Properties>
</file>